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25" firstSheet="16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20" sheetId="20" r:id="rId19"/>
    <sheet name="Final Company tbl" sheetId="19" r:id="rId20"/>
    <sheet name="Term Loan tbl" sheetId="21" r:id="rId21"/>
    <sheet name="Term Loan" sheetId="22" r:id="rId22"/>
    <sheet name="ID Cal Sheet" sheetId="23" r:id="rId23"/>
    <sheet name="Demand Loan" sheetId="27" r:id="rId24"/>
    <sheet name="Sheet23" sheetId="24" r:id="rId25"/>
    <sheet name="Demand Loan wrong" sheetId="25" r:id="rId26"/>
    <sheet name="Sheet25" sheetId="26" r:id="rId27"/>
    <sheet name="Sheet19" sheetId="28" r:id="rId28"/>
    <sheet name="Sheet21" sheetId="29" r:id="rId29"/>
    <sheet name="Sheet22" sheetId="30" r:id="rId30"/>
  </sheets>
  <definedNames>
    <definedName name="_xlnm._FilterDatabase" localSheetId="12" hidden="1">Sheet13!$A$1:$A$281</definedName>
    <definedName name="_xlnm._FilterDatabase" localSheetId="14" hidden="1">Sheet15!$B$2:$B$138</definedName>
    <definedName name="_xlnm._FilterDatabase" localSheetId="4" hidden="1">Sheet5!$B$1:$B$461</definedName>
    <definedName name="_xlnm._FilterDatabase" localSheetId="8" hidden="1">Sheet9!$C$2:$C$208</definedName>
  </definedNames>
  <calcPr calcId="124519"/>
</workbook>
</file>

<file path=xl/calcChain.xml><?xml version="1.0" encoding="utf-8"?>
<calcChain xmlns="http://schemas.openxmlformats.org/spreadsheetml/2006/main">
  <c r="H99" i="29"/>
  <c r="J99" s="1"/>
  <c r="K99" s="1"/>
  <c r="G99"/>
  <c r="J120"/>
  <c r="K120" s="1"/>
  <c r="J113"/>
  <c r="K113" s="1"/>
  <c r="J85"/>
  <c r="K85" s="1"/>
  <c r="J38"/>
  <c r="K38" s="1"/>
  <c r="J46"/>
  <c r="K46" s="1"/>
  <c r="H47"/>
  <c r="J47" s="1"/>
  <c r="K47" s="1"/>
  <c r="H118"/>
  <c r="J118" s="1"/>
  <c r="K118" s="1"/>
  <c r="P84"/>
  <c r="H84"/>
  <c r="J84" s="1"/>
  <c r="K84" s="1"/>
  <c r="L84" s="1"/>
  <c r="H86"/>
  <c r="J86" s="1"/>
  <c r="K86" s="1"/>
  <c r="H4"/>
  <c r="J4" s="1"/>
  <c r="K4" s="1"/>
  <c r="L4" s="1"/>
  <c r="H5"/>
  <c r="J5" s="1"/>
  <c r="K5" s="1"/>
  <c r="H7"/>
  <c r="J7" s="1"/>
  <c r="K7" s="1"/>
  <c r="H56"/>
  <c r="J56" s="1"/>
  <c r="K56" s="1"/>
  <c r="H153"/>
  <c r="J153" s="1"/>
  <c r="K153" s="1"/>
  <c r="H167"/>
  <c r="J167" s="1"/>
  <c r="K167" s="1"/>
  <c r="H166"/>
  <c r="J166" s="1"/>
  <c r="K166" s="1"/>
  <c r="H90"/>
  <c r="J90" s="1"/>
  <c r="K90" s="1"/>
  <c r="H152"/>
  <c r="J152" s="1"/>
  <c r="K152" s="1"/>
  <c r="H106"/>
  <c r="J106" s="1"/>
  <c r="K106" s="1"/>
  <c r="H165"/>
  <c r="J165" s="1"/>
  <c r="K165" s="1"/>
  <c r="H59"/>
  <c r="J59" s="1"/>
  <c r="K59" s="1"/>
  <c r="H108"/>
  <c r="J108" s="1"/>
  <c r="K108" s="1"/>
  <c r="H164"/>
  <c r="J164" s="1"/>
  <c r="K164" s="1"/>
  <c r="H62"/>
  <c r="J62" s="1"/>
  <c r="K62" s="1"/>
  <c r="H89"/>
  <c r="J89" s="1"/>
  <c r="K89" s="1"/>
  <c r="H107"/>
  <c r="J107" s="1"/>
  <c r="K107" s="1"/>
  <c r="H13"/>
  <c r="J13" s="1"/>
  <c r="K13" s="1"/>
  <c r="J40"/>
  <c r="K40" s="1"/>
  <c r="H55"/>
  <c r="J55" s="1"/>
  <c r="K55" s="1"/>
  <c r="H12"/>
  <c r="J12" s="1"/>
  <c r="K12" s="1"/>
  <c r="H88"/>
  <c r="J88" s="1"/>
  <c r="K88" s="1"/>
  <c r="H39"/>
  <c r="J39" s="1"/>
  <c r="K39" s="1"/>
  <c r="H133"/>
  <c r="J133" s="1"/>
  <c r="K133" s="1"/>
  <c r="H163"/>
  <c r="J163" s="1"/>
  <c r="K163" s="1"/>
  <c r="H79"/>
  <c r="J79" s="1"/>
  <c r="K79" s="1"/>
  <c r="H61"/>
  <c r="J61" s="1"/>
  <c r="K61" s="1"/>
  <c r="H147"/>
  <c r="J147" s="1"/>
  <c r="K147" s="1"/>
  <c r="J80"/>
  <c r="K80" s="1"/>
  <c r="H77"/>
  <c r="J77" s="1"/>
  <c r="K77" s="1"/>
  <c r="H146"/>
  <c r="J146" s="1"/>
  <c r="K146" s="1"/>
  <c r="P146" s="1"/>
  <c r="J60"/>
  <c r="K60" s="1"/>
  <c r="H60"/>
  <c r="J155"/>
  <c r="K155" s="1"/>
  <c r="J178"/>
  <c r="K178" s="1"/>
  <c r="H178"/>
  <c r="J177"/>
  <c r="J176"/>
  <c r="J175"/>
  <c r="J174"/>
  <c r="P173"/>
  <c r="J173"/>
  <c r="K173" s="1"/>
  <c r="H173"/>
  <c r="J172"/>
  <c r="K172" s="1"/>
  <c r="H172"/>
  <c r="P171"/>
  <c r="J171"/>
  <c r="K171" s="1"/>
  <c r="H171"/>
  <c r="J76"/>
  <c r="K76" s="1"/>
  <c r="J75"/>
  <c r="K75" s="1"/>
  <c r="H75"/>
  <c r="J74"/>
  <c r="K74" s="1"/>
  <c r="J72"/>
  <c r="K72" s="1"/>
  <c r="H72"/>
  <c r="J37"/>
  <c r="K37" s="1"/>
  <c r="H37"/>
  <c r="P65"/>
  <c r="J65"/>
  <c r="H65"/>
  <c r="J64"/>
  <c r="H64"/>
  <c r="J63"/>
  <c r="J144"/>
  <c r="K181"/>
  <c r="H181"/>
  <c r="J105"/>
  <c r="H105"/>
  <c r="J104"/>
  <c r="H104"/>
  <c r="J25"/>
  <c r="I25"/>
  <c r="J24"/>
  <c r="J116"/>
  <c r="J115"/>
  <c r="J114"/>
  <c r="J52"/>
  <c r="K54" s="1"/>
  <c r="K103"/>
  <c r="K3"/>
  <c r="I3"/>
  <c r="I2"/>
  <c r="J151"/>
  <c r="K151" s="1"/>
  <c r="J67"/>
  <c r="J66"/>
  <c r="K137"/>
  <c r="K148"/>
  <c r="K96"/>
  <c r="J97"/>
  <c r="K97" s="1"/>
  <c r="K33"/>
  <c r="K23"/>
  <c r="J8"/>
  <c r="K9" s="1"/>
  <c r="K169"/>
  <c r="K162"/>
  <c r="K149"/>
  <c r="K131"/>
  <c r="K130"/>
  <c r="J50"/>
  <c r="J49"/>
  <c r="J48"/>
  <c r="K35"/>
  <c r="K22"/>
  <c r="K36"/>
  <c r="K168"/>
  <c r="K138"/>
  <c r="K160"/>
  <c r="K81"/>
  <c r="K14"/>
  <c r="K15"/>
  <c r="J18"/>
  <c r="K18" s="1"/>
  <c r="J91"/>
  <c r="K91" s="1"/>
  <c r="J57"/>
  <c r="K57" s="1"/>
  <c r="J44"/>
  <c r="K44" s="1"/>
  <c r="J17"/>
  <c r="K17" s="1"/>
  <c r="J43"/>
  <c r="K43" s="1"/>
  <c r="J42"/>
  <c r="K42" s="1"/>
  <c r="J82"/>
  <c r="K82" s="1"/>
  <c r="J150"/>
  <c r="K150" s="1"/>
  <c r="H27"/>
  <c r="J27" s="1"/>
  <c r="K27" s="1"/>
  <c r="H16"/>
  <c r="J16" s="1"/>
  <c r="K16" s="1"/>
  <c r="H98"/>
  <c r="J98" s="1"/>
  <c r="K98" s="1"/>
  <c r="H92"/>
  <c r="J92" s="1"/>
  <c r="K92" s="1"/>
  <c r="H87"/>
  <c r="J87" s="1"/>
  <c r="K87" s="1"/>
  <c r="H83"/>
  <c r="J83" s="1"/>
  <c r="K83" s="1"/>
  <c r="H117"/>
  <c r="J117" s="1"/>
  <c r="K117" s="1"/>
  <c r="H6"/>
  <c r="J6" s="1"/>
  <c r="K6" s="1"/>
  <c r="H101"/>
  <c r="J101" s="1"/>
  <c r="K101" s="1"/>
  <c r="H180"/>
  <c r="J180" s="1"/>
  <c r="K180" s="1"/>
  <c r="H112"/>
  <c r="J112" s="1"/>
  <c r="K112" s="1"/>
  <c r="H100"/>
  <c r="J100" s="1"/>
  <c r="K100" s="1"/>
  <c r="H179"/>
  <c r="J179" s="1"/>
  <c r="K179" s="1"/>
  <c r="H157"/>
  <c r="J157" s="1"/>
  <c r="K157" s="1"/>
  <c r="H158"/>
  <c r="J158" s="1"/>
  <c r="K158" s="1"/>
  <c r="J111"/>
  <c r="K111" s="1"/>
  <c r="H41"/>
  <c r="J41" s="1"/>
  <c r="K41" s="1"/>
  <c r="H110"/>
  <c r="J110" s="1"/>
  <c r="K110" s="1"/>
  <c r="H102"/>
  <c r="J102" s="1"/>
  <c r="K102" s="1"/>
  <c r="H132"/>
  <c r="J132" s="1"/>
  <c r="K132" s="1"/>
  <c r="H154"/>
  <c r="J154" s="1"/>
  <c r="K154" s="1"/>
  <c r="H109"/>
  <c r="J109" s="1"/>
  <c r="K109" s="1"/>
  <c r="J10"/>
  <c r="K10" s="1"/>
  <c r="J11"/>
  <c r="K11" s="1"/>
  <c r="J78"/>
  <c r="K78" s="1"/>
  <c r="H71"/>
  <c r="J71" s="1"/>
  <c r="K71" s="1"/>
  <c r="H143"/>
  <c r="J122"/>
  <c r="K122" s="1"/>
  <c r="J123"/>
  <c r="K123" s="1"/>
  <c r="H123"/>
  <c r="J45"/>
  <c r="K45" s="1"/>
  <c r="J21"/>
  <c r="J20"/>
  <c r="H20"/>
  <c r="J19"/>
  <c r="J142"/>
  <c r="K142" s="1"/>
  <c r="J141"/>
  <c r="K141" s="1"/>
  <c r="J140"/>
  <c r="K140" s="1"/>
  <c r="J139"/>
  <c r="J26"/>
  <c r="K26" s="1"/>
  <c r="H26"/>
  <c r="J51"/>
  <c r="K51" s="1"/>
  <c r="J170"/>
  <c r="K170" s="1"/>
  <c r="H170"/>
  <c r="J156"/>
  <c r="K156" s="1"/>
  <c r="K121"/>
  <c r="K25" l="1"/>
  <c r="K68"/>
  <c r="K65"/>
  <c r="K116"/>
  <c r="K50"/>
  <c r="K21"/>
  <c r="K105"/>
  <c r="K177"/>
  <c r="P77"/>
  <c r="P60"/>
  <c r="G157" i="28"/>
  <c r="G158"/>
  <c r="G159"/>
  <c r="G160"/>
  <c r="G161"/>
  <c r="G162"/>
  <c r="G163"/>
  <c r="G164"/>
  <c r="G16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2"/>
  <c r="C158"/>
  <c r="C159"/>
  <c r="C160"/>
  <c r="C161"/>
  <c r="C162"/>
  <c r="C163"/>
  <c r="C164"/>
  <c r="C16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2"/>
  <c r="E158"/>
  <c r="E159"/>
  <c r="E160"/>
  <c r="E161"/>
  <c r="E162"/>
  <c r="E163"/>
  <c r="E164"/>
  <c r="E16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I79" i="23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C3" i="2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I3" i="2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2"/>
  <c r="E13" i="18" l="1"/>
  <c r="E6"/>
  <c r="E11"/>
  <c r="E10"/>
  <c r="E5"/>
  <c r="E9"/>
  <c r="E7"/>
  <c r="E4"/>
  <c r="E8"/>
  <c r="E12"/>
  <c r="D127" i="14"/>
  <c r="D3"/>
  <c r="D4"/>
  <c r="D5"/>
  <c r="D6"/>
  <c r="D7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8"/>
  <c r="D129"/>
  <c r="D130"/>
  <c r="D131"/>
  <c r="D132"/>
  <c r="D133"/>
  <c r="D134"/>
  <c r="D135"/>
  <c r="D136"/>
  <c r="D137"/>
  <c r="D138"/>
  <c r="D2"/>
  <c r="C3"/>
  <c r="C4"/>
  <c r="C5"/>
  <c r="C6"/>
  <c r="C7"/>
  <c r="C8"/>
  <c r="C9"/>
  <c r="C10"/>
  <c r="C11"/>
  <c r="D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2"/>
  <c r="B283" i="12"/>
  <c r="B282"/>
  <c r="B280"/>
  <c r="B278"/>
  <c r="B276"/>
  <c r="B274"/>
  <c r="B272"/>
  <c r="B270"/>
  <c r="B268"/>
  <c r="B266"/>
  <c r="B264"/>
  <c r="B262"/>
  <c r="B260"/>
  <c r="B257"/>
  <c r="B255"/>
  <c r="B253"/>
  <c r="B251"/>
  <c r="B249"/>
  <c r="B247"/>
  <c r="B245"/>
  <c r="B243"/>
  <c r="B241"/>
  <c r="B239"/>
  <c r="B237"/>
  <c r="B235"/>
  <c r="B232"/>
  <c r="B230"/>
  <c r="B228"/>
  <c r="B226"/>
  <c r="B224"/>
  <c r="B222"/>
  <c r="B220"/>
  <c r="B218"/>
  <c r="B216"/>
  <c r="B214"/>
  <c r="B212"/>
  <c r="B210"/>
  <c r="B208"/>
  <c r="B206"/>
  <c r="B204"/>
  <c r="B202"/>
  <c r="B200"/>
  <c r="B198"/>
  <c r="B196"/>
  <c r="B194"/>
  <c r="B192"/>
  <c r="B190"/>
  <c r="B188"/>
  <c r="B186"/>
  <c r="B184"/>
  <c r="B181"/>
  <c r="B178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2"/>
  <c r="B129"/>
  <c r="B127"/>
  <c r="B125"/>
  <c r="B123"/>
  <c r="B121"/>
  <c r="B119"/>
  <c r="B117"/>
  <c r="B115"/>
  <c r="B113"/>
  <c r="B111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D3" i="1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2"/>
  <c r="E17" i="10"/>
  <c r="E2"/>
  <c r="E3"/>
  <c r="E4"/>
  <c r="E5"/>
  <c r="E6"/>
  <c r="E7"/>
  <c r="E8"/>
  <c r="E9"/>
  <c r="E10"/>
  <c r="E11"/>
  <c r="E12"/>
  <c r="E13"/>
  <c r="E15"/>
  <c r="E16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C212" i="8"/>
  <c r="C211"/>
  <c r="C209"/>
  <c r="C207"/>
  <c r="C205"/>
  <c r="C201"/>
  <c r="C198"/>
  <c r="C196"/>
  <c r="C194"/>
  <c r="C192"/>
  <c r="C190"/>
  <c r="C187"/>
  <c r="C185"/>
  <c r="C183"/>
  <c r="C181"/>
  <c r="C179"/>
  <c r="C177"/>
  <c r="C175"/>
  <c r="C173"/>
  <c r="C171"/>
  <c r="C169"/>
  <c r="C167"/>
  <c r="C165"/>
  <c r="C163"/>
  <c r="C161"/>
  <c r="C159"/>
  <c r="C157"/>
  <c r="C155"/>
  <c r="C153"/>
  <c r="C151"/>
  <c r="C149"/>
  <c r="C147"/>
  <c r="C145"/>
  <c r="C143"/>
  <c r="C141"/>
  <c r="C139"/>
  <c r="C137"/>
  <c r="C135"/>
  <c r="C130"/>
  <c r="C128"/>
  <c r="C126"/>
  <c r="C124"/>
  <c r="C122"/>
  <c r="C120"/>
  <c r="C117"/>
  <c r="C115"/>
  <c r="C113"/>
  <c r="C111"/>
  <c r="C109"/>
  <c r="C107"/>
  <c r="C105"/>
  <c r="C103"/>
  <c r="C101"/>
  <c r="C99"/>
  <c r="C97"/>
  <c r="C95"/>
  <c r="C93"/>
  <c r="C91"/>
  <c r="C89"/>
  <c r="C85"/>
  <c r="C82"/>
  <c r="C80"/>
  <c r="C72"/>
  <c r="C70"/>
  <c r="C67"/>
  <c r="C65"/>
  <c r="C61"/>
  <c r="C59"/>
  <c r="C57"/>
  <c r="C51"/>
  <c r="C48"/>
  <c r="C45"/>
  <c r="C42"/>
  <c r="C40"/>
  <c r="C38"/>
  <c r="C36"/>
  <c r="C34"/>
  <c r="C32"/>
  <c r="C30"/>
  <c r="C28"/>
  <c r="C26"/>
  <c r="C24"/>
  <c r="C22"/>
  <c r="C20"/>
  <c r="C18"/>
  <c r="C15"/>
  <c r="C13"/>
  <c r="C11"/>
  <c r="C8"/>
  <c r="C6"/>
  <c r="F94" i="7"/>
  <c r="F93"/>
  <c r="F77"/>
  <c r="F76"/>
  <c r="F73"/>
  <c r="F68"/>
  <c r="C329" i="5"/>
  <c r="C327"/>
  <c r="C325"/>
  <c r="C323"/>
  <c r="C321"/>
  <c r="C319"/>
  <c r="C317"/>
  <c r="C315"/>
  <c r="C313"/>
  <c r="C311"/>
  <c r="C309"/>
  <c r="C307"/>
  <c r="C305"/>
  <c r="C303"/>
  <c r="C301"/>
  <c r="C299"/>
  <c r="C297"/>
  <c r="C295"/>
  <c r="C293"/>
  <c r="C291"/>
  <c r="C289"/>
  <c r="C287"/>
  <c r="C285"/>
  <c r="C283"/>
  <c r="C281"/>
  <c r="C279"/>
  <c r="C277"/>
  <c r="C275"/>
  <c r="C273"/>
  <c r="C271"/>
  <c r="C269"/>
  <c r="C267"/>
  <c r="C265"/>
  <c r="C263"/>
  <c r="C261"/>
  <c r="C259"/>
  <c r="C257"/>
  <c r="C255"/>
  <c r="C253"/>
  <c r="C251"/>
  <c r="C249"/>
  <c r="C247"/>
  <c r="C245"/>
  <c r="C243"/>
  <c r="C241"/>
  <c r="C239"/>
  <c r="C237"/>
  <c r="C235"/>
  <c r="C233"/>
  <c r="C231"/>
  <c r="C229"/>
  <c r="C226"/>
  <c r="C224"/>
  <c r="C222"/>
  <c r="C220"/>
  <c r="C218"/>
  <c r="C216"/>
  <c r="C214"/>
  <c r="C212"/>
  <c r="C210"/>
  <c r="C208"/>
  <c r="C206"/>
  <c r="C204"/>
  <c r="C202"/>
  <c r="C200"/>
  <c r="C198"/>
  <c r="C196"/>
  <c r="C194"/>
  <c r="C192"/>
  <c r="C190"/>
  <c r="C188"/>
  <c r="C186"/>
  <c r="C184"/>
  <c r="C182"/>
  <c r="C180"/>
  <c r="C178"/>
  <c r="C176"/>
  <c r="C174"/>
  <c r="C172"/>
  <c r="C169"/>
  <c r="C167"/>
  <c r="C165"/>
  <c r="C163"/>
  <c r="C154"/>
  <c r="C151"/>
  <c r="C149"/>
  <c r="C147"/>
  <c r="C143"/>
  <c r="C141"/>
  <c r="C139"/>
  <c r="C135"/>
  <c r="C133"/>
  <c r="C129"/>
  <c r="C127"/>
  <c r="C124"/>
  <c r="C121"/>
  <c r="C117"/>
  <c r="C113"/>
  <c r="C111"/>
  <c r="C108"/>
  <c r="C106"/>
  <c r="C102"/>
  <c r="C97"/>
  <c r="C95"/>
  <c r="C90"/>
  <c r="C88"/>
  <c r="C83"/>
  <c r="C76"/>
  <c r="C74"/>
  <c r="C71"/>
  <c r="C69"/>
  <c r="C66"/>
  <c r="C64"/>
  <c r="C62"/>
  <c r="C60"/>
  <c r="C52"/>
  <c r="C48"/>
  <c r="C45"/>
  <c r="C43"/>
  <c r="C41"/>
  <c r="C39"/>
  <c r="C37"/>
  <c r="C35"/>
  <c r="C33"/>
  <c r="C30"/>
  <c r="C28"/>
  <c r="C19"/>
  <c r="C17"/>
  <c r="C3"/>
  <c r="C460" s="1"/>
  <c r="L190" i="3"/>
  <c r="F200"/>
  <c r="F198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4"/>
  <c r="F153"/>
  <c r="F152"/>
  <c r="F151"/>
  <c r="F150"/>
  <c r="F149"/>
  <c r="F148"/>
  <c r="F147"/>
  <c r="F146"/>
  <c r="L136"/>
  <c r="M110"/>
  <c r="M108"/>
  <c r="M107"/>
  <c r="M98"/>
  <c r="F2"/>
  <c r="G16" i="1"/>
  <c r="I16"/>
  <c r="J16" s="1"/>
  <c r="I17"/>
  <c r="I18"/>
  <c r="J18" s="1"/>
  <c r="I19"/>
  <c r="J19" s="1"/>
  <c r="I20"/>
  <c r="J20" s="1"/>
  <c r="I21"/>
  <c r="G22"/>
  <c r="I22"/>
  <c r="I23"/>
  <c r="I24"/>
  <c r="J24" s="1"/>
  <c r="I25"/>
  <c r="J25" s="1"/>
  <c r="G26"/>
  <c r="I26"/>
  <c r="J26" s="1"/>
  <c r="J28"/>
  <c r="I29"/>
  <c r="J29" s="1"/>
  <c r="I30"/>
  <c r="J30" s="1"/>
  <c r="K30" s="1"/>
  <c r="I31"/>
  <c r="J31"/>
  <c r="I32"/>
  <c r="J32"/>
  <c r="I34"/>
  <c r="J34"/>
  <c r="K34" s="1"/>
  <c r="G36"/>
  <c r="I36" s="1"/>
  <c r="J36" s="1"/>
  <c r="I37"/>
  <c r="J37" s="1"/>
  <c r="G38"/>
  <c r="I38" s="1"/>
  <c r="J38" s="1"/>
  <c r="G39"/>
  <c r="I39" s="1"/>
  <c r="J39"/>
  <c r="I40"/>
  <c r="J40" s="1"/>
  <c r="F41"/>
  <c r="G41"/>
  <c r="I41" s="1"/>
  <c r="J41"/>
  <c r="F42"/>
  <c r="G42"/>
  <c r="I42" s="1"/>
  <c r="J42" s="1"/>
  <c r="F43"/>
  <c r="I43"/>
  <c r="J43" s="1"/>
  <c r="F44"/>
  <c r="I44"/>
  <c r="J44" s="1"/>
  <c r="F45"/>
  <c r="G45"/>
  <c r="I45" s="1"/>
  <c r="J45" s="1"/>
  <c r="F46"/>
  <c r="I46"/>
  <c r="J46" s="1"/>
  <c r="F47"/>
  <c r="I47"/>
  <c r="J47"/>
  <c r="F48"/>
  <c r="G48"/>
  <c r="I48" s="1"/>
  <c r="J48" s="1"/>
  <c r="F49"/>
  <c r="G49"/>
  <c r="I49" s="1"/>
  <c r="J49" s="1"/>
  <c r="F50"/>
  <c r="G50"/>
  <c r="I50" s="1"/>
  <c r="J50" s="1"/>
  <c r="F51"/>
  <c r="G51"/>
  <c r="I51" s="1"/>
  <c r="J51" s="1"/>
  <c r="F52"/>
  <c r="I52"/>
  <c r="J52" s="1"/>
  <c r="G53"/>
  <c r="I53" s="1"/>
  <c r="J53" s="1"/>
  <c r="G54"/>
  <c r="I54" s="1"/>
  <c r="J54" s="1"/>
  <c r="G55"/>
  <c r="I55" s="1"/>
  <c r="J55" s="1"/>
  <c r="F56"/>
  <c r="G56"/>
  <c r="I56" s="1"/>
  <c r="J56" s="1"/>
  <c r="F57"/>
  <c r="G57"/>
  <c r="I57" s="1"/>
  <c r="J57" s="1"/>
  <c r="G58"/>
  <c r="I58" s="1"/>
  <c r="J58" s="1"/>
  <c r="F59"/>
  <c r="G59"/>
  <c r="I59" s="1"/>
  <c r="J59" s="1"/>
  <c r="F60"/>
  <c r="G60"/>
  <c r="I60" s="1"/>
  <c r="J60" s="1"/>
  <c r="F61"/>
  <c r="G61"/>
  <c r="I61" s="1"/>
  <c r="J61" s="1"/>
  <c r="F62"/>
  <c r="G62"/>
  <c r="I62"/>
  <c r="J62" s="1"/>
  <c r="F63"/>
  <c r="G63"/>
  <c r="I63" s="1"/>
  <c r="J63" s="1"/>
  <c r="L63"/>
  <c r="F64"/>
  <c r="G64"/>
  <c r="I64" s="1"/>
  <c r="J64" s="1"/>
  <c r="F65"/>
  <c r="G65"/>
  <c r="I65" s="1"/>
  <c r="J65" s="1"/>
  <c r="G66"/>
  <c r="I66" s="1"/>
  <c r="J66" s="1"/>
  <c r="F67"/>
  <c r="I67"/>
  <c r="J67" s="1"/>
  <c r="F68"/>
  <c r="G68"/>
  <c r="I68" s="1"/>
  <c r="J68" s="1"/>
  <c r="F69"/>
  <c r="G69"/>
  <c r="I69" s="1"/>
  <c r="J69" s="1"/>
  <c r="F70"/>
  <c r="G70"/>
  <c r="I70" s="1"/>
  <c r="J70" s="1"/>
  <c r="F71"/>
  <c r="G71"/>
  <c r="I71" s="1"/>
  <c r="J71" s="1"/>
  <c r="F72"/>
  <c r="I72"/>
  <c r="J72" s="1"/>
  <c r="F73"/>
  <c r="G73"/>
  <c r="I73"/>
  <c r="J73" s="1"/>
  <c r="F74"/>
  <c r="G74"/>
  <c r="I74" s="1"/>
  <c r="J74" s="1"/>
  <c r="F75"/>
  <c r="G75"/>
  <c r="I75" s="1"/>
  <c r="J75" s="1"/>
  <c r="F76"/>
  <c r="I76"/>
  <c r="J76" s="1"/>
  <c r="F77"/>
  <c r="G77"/>
  <c r="I77" s="1"/>
  <c r="J77" s="1"/>
  <c r="F78"/>
  <c r="G78"/>
  <c r="I78" s="1"/>
  <c r="J78" s="1"/>
  <c r="F79"/>
  <c r="G79"/>
  <c r="I79" s="1"/>
  <c r="J79" s="1"/>
  <c r="F80"/>
  <c r="G80"/>
  <c r="I80" s="1"/>
  <c r="J80" s="1"/>
  <c r="F81"/>
  <c r="G81"/>
  <c r="I81" s="1"/>
  <c r="J81" s="1"/>
  <c r="F82"/>
  <c r="G82"/>
  <c r="I82" s="1"/>
  <c r="J82" s="1"/>
  <c r="F83"/>
  <c r="G83"/>
  <c r="I83" s="1"/>
  <c r="J83" s="1"/>
  <c r="F84"/>
  <c r="G84"/>
  <c r="I84" s="1"/>
  <c r="J84" s="1"/>
  <c r="F85"/>
  <c r="G85"/>
  <c r="I85" s="1"/>
  <c r="J85" s="1"/>
  <c r="F86"/>
  <c r="G86"/>
  <c r="I86" s="1"/>
  <c r="J86" s="1"/>
  <c r="F87"/>
  <c r="G87"/>
  <c r="I87" s="1"/>
  <c r="J87" s="1"/>
  <c r="F88"/>
  <c r="G88"/>
  <c r="I88" s="1"/>
  <c r="J88" s="1"/>
  <c r="F89"/>
  <c r="G89"/>
  <c r="I89" s="1"/>
  <c r="J89" s="1"/>
  <c r="F90"/>
  <c r="G90"/>
  <c r="I90" s="1"/>
  <c r="J90" s="1"/>
  <c r="F91"/>
  <c r="G91"/>
  <c r="I91" s="1"/>
  <c r="J91" s="1"/>
  <c r="F92"/>
  <c r="G92"/>
  <c r="I92" s="1"/>
  <c r="J92" s="1"/>
  <c r="F93"/>
  <c r="G93"/>
  <c r="I93" s="1"/>
  <c r="J93" s="1"/>
  <c r="F94"/>
  <c r="G94"/>
  <c r="I94" s="1"/>
  <c r="J94" s="1"/>
  <c r="F95"/>
  <c r="G95"/>
  <c r="I95" s="1"/>
  <c r="J95" s="1"/>
  <c r="F96"/>
  <c r="G96"/>
  <c r="I96" s="1"/>
  <c r="J96" s="1"/>
  <c r="F97"/>
  <c r="G97"/>
  <c r="I97" s="1"/>
  <c r="J97" s="1"/>
  <c r="F98"/>
  <c r="G98"/>
  <c r="I98" s="1"/>
  <c r="J98" s="1"/>
  <c r="F99"/>
  <c r="G99"/>
  <c r="I99" s="1"/>
  <c r="J99" s="1"/>
  <c r="F100"/>
  <c r="G100"/>
  <c r="I100" s="1"/>
  <c r="J100" s="1"/>
  <c r="F10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F109"/>
  <c r="I109"/>
  <c r="J109" s="1"/>
  <c r="I15"/>
  <c r="J15" s="1"/>
  <c r="I14"/>
  <c r="J14" s="1"/>
  <c r="I13"/>
  <c r="J13" s="1"/>
  <c r="G13"/>
  <c r="I12"/>
  <c r="J12" s="1"/>
  <c r="I11"/>
  <c r="J11" s="1"/>
  <c r="J10"/>
  <c r="I7"/>
  <c r="J7" s="1"/>
  <c r="J6"/>
  <c r="K29" l="1"/>
  <c r="J23"/>
</calcChain>
</file>

<file path=xl/sharedStrings.xml><?xml version="1.0" encoding="utf-8"?>
<sst xmlns="http://schemas.openxmlformats.org/spreadsheetml/2006/main" count="11980" uniqueCount="3308">
  <si>
    <t>CASH</t>
  </si>
  <si>
    <t>JALANI SHILPA LTD.</t>
  </si>
  <si>
    <t xml:space="preserve">CASH </t>
  </si>
  <si>
    <t>162/97</t>
  </si>
  <si>
    <t>1/1/97</t>
  </si>
  <si>
    <t>WR</t>
  </si>
  <si>
    <t>6/98</t>
  </si>
  <si>
    <t>3/3/98</t>
  </si>
  <si>
    <t>23/99</t>
  </si>
  <si>
    <t>27/9/99</t>
  </si>
  <si>
    <t>2/00</t>
  </si>
  <si>
    <t>KAYACHI DETERGENT &amp; CH.IND.</t>
  </si>
  <si>
    <t>cash lc</t>
  </si>
  <si>
    <t>11/04</t>
  </si>
  <si>
    <t>27/7/04</t>
  </si>
  <si>
    <t>KAWACHI DETERGENT &amp; CHEMI</t>
  </si>
  <si>
    <t>.07/13</t>
  </si>
  <si>
    <t>BL</t>
  </si>
  <si>
    <t>ROCO ENTERPRISE</t>
  </si>
  <si>
    <t>.19/11</t>
  </si>
  <si>
    <t>W/R</t>
  </si>
  <si>
    <t>.20/11</t>
  </si>
  <si>
    <t>.22/11</t>
  </si>
  <si>
    <t>DHAKA MATCH FACTORY LTD</t>
  </si>
  <si>
    <t>22/04</t>
  </si>
  <si>
    <t>Deleted 04.12.2022</t>
  </si>
  <si>
    <t>SURUJ MIAH TEXTILE</t>
  </si>
  <si>
    <t>.03/14</t>
  </si>
  <si>
    <t>STD /WRITE</t>
  </si>
  <si>
    <t>VISTA FIBERS LTD</t>
  </si>
  <si>
    <t>.08/14</t>
  </si>
  <si>
    <t>F N FAN INDUSTRIES  LTD</t>
  </si>
  <si>
    <t>11/16</t>
  </si>
  <si>
    <t>f: 64, r: 04</t>
  </si>
  <si>
    <t>RM SYSTEM</t>
  </si>
  <si>
    <t>43/16</t>
  </si>
  <si>
    <t>ADJUST :26.12.2022</t>
  </si>
  <si>
    <t>f;117r :04</t>
  </si>
  <si>
    <t>BOSUNDORA FOOD AND  BEVERAGE</t>
  </si>
  <si>
    <t xml:space="preserve">cah LC </t>
  </si>
  <si>
    <t>21/17</t>
  </si>
  <si>
    <t>28/12/2017</t>
  </si>
  <si>
    <t>J</t>
  </si>
  <si>
    <t>f;160 r :04</t>
  </si>
  <si>
    <t>SHAHABA YARN LTD(CASH LC)</t>
  </si>
  <si>
    <t>cash , R:04/177</t>
  </si>
  <si>
    <t>10/18</t>
  </si>
  <si>
    <t>UC/RES</t>
  </si>
  <si>
    <t>STD</t>
  </si>
  <si>
    <t>r :004 f 177</t>
  </si>
  <si>
    <t>SHAHABA YARN LTD(BTB LC)</t>
  </si>
  <si>
    <t>cash lc, R:05/16</t>
  </si>
  <si>
    <t>1/19</t>
  </si>
  <si>
    <t>UC</t>
  </si>
  <si>
    <t>R:05, F:l16</t>
  </si>
  <si>
    <t>SHAHABA YARN LTD(CASHLC)</t>
  </si>
  <si>
    <t>cash lc, R:05/31</t>
  </si>
  <si>
    <t>8/19</t>
  </si>
  <si>
    <t>r 05F, f 31</t>
  </si>
  <si>
    <t>cash lc, R:05/55</t>
  </si>
  <si>
    <t>18/19</t>
  </si>
  <si>
    <t>R;05/55</t>
  </si>
  <si>
    <t>BD SUGAR AND FOOD CASH LC</t>
  </si>
  <si>
    <t>17/18</t>
  </si>
  <si>
    <t>UC/GOVT. CORP GRANTEE</t>
  </si>
  <si>
    <t>r:04, f 188</t>
  </si>
  <si>
    <t>22/18</t>
  </si>
  <si>
    <t>r:04, f 193</t>
  </si>
  <si>
    <t>23/18</t>
  </si>
  <si>
    <t>r:04, f 194</t>
  </si>
  <si>
    <t xml:space="preserve">cash </t>
  </si>
  <si>
    <t>PACIFIC A1 SWEATER</t>
  </si>
  <si>
    <t>36/18</t>
  </si>
  <si>
    <t>SS</t>
  </si>
  <si>
    <t>f:18, r:  05</t>
  </si>
  <si>
    <t>DUTCH BANGLA POWER</t>
  </si>
  <si>
    <t>2/19</t>
  </si>
  <si>
    <t>f:17, r 05</t>
  </si>
  <si>
    <t xml:space="preserve">RUPSI FEED </t>
  </si>
  <si>
    <t>13/19</t>
  </si>
  <si>
    <t>f:04.  r: o4</t>
  </si>
  <si>
    <t>Rupshi Feed (BCK)</t>
  </si>
  <si>
    <t xml:space="preserve">Rupshi Feed </t>
  </si>
  <si>
    <t>bck acmula</t>
  </si>
  <si>
    <t>24/19</t>
  </si>
  <si>
    <t>r: 05, f:68</t>
  </si>
  <si>
    <t xml:space="preserve">SHAHABA YARN LTD </t>
  </si>
  <si>
    <t>cash lc, R:05/71</t>
  </si>
  <si>
    <t xml:space="preserve">Sister Denim Composite  Mills Ltd </t>
  </si>
  <si>
    <t>R:05/80</t>
  </si>
  <si>
    <t xml:space="preserve">Asiatic Textile Mills Ltd </t>
  </si>
  <si>
    <t>r:05/86</t>
  </si>
  <si>
    <t>H H Textile Mills Ltd  (bck )</t>
  </si>
  <si>
    <t>r:05/87</t>
  </si>
  <si>
    <t xml:space="preserve">H H Textile Mills Ltd </t>
  </si>
  <si>
    <t>LEEU FASHION  ( bcK )</t>
  </si>
  <si>
    <t xml:space="preserve">Cash Lc </t>
  </si>
  <si>
    <t>.10/20</t>
  </si>
  <si>
    <t>R:05/110</t>
  </si>
  <si>
    <t>LEEU FFASHION</t>
  </si>
  <si>
    <t>Cash Lc R:04/122</t>
  </si>
  <si>
    <t xml:space="preserve">Advance Com  Tex  Ltd </t>
  </si>
  <si>
    <t>Cas LC ( R05/112)</t>
  </si>
  <si>
    <t>r05/112</t>
  </si>
  <si>
    <t xml:space="preserve">R R Spinning &amp; Cotton Mills </t>
  </si>
  <si>
    <t>20/20</t>
  </si>
  <si>
    <t xml:space="preserve">Prime Melenge Yarn ltd </t>
  </si>
  <si>
    <t xml:space="preserve">LEEU FASHION LTD </t>
  </si>
  <si>
    <t xml:space="preserve">Cash </t>
  </si>
  <si>
    <t>Prime Composite Mills Ltd</t>
  </si>
  <si>
    <t>Cash</t>
  </si>
  <si>
    <t>Thermex Blended Yarn Ltd</t>
  </si>
  <si>
    <t xml:space="preserve">Global Pac Ind Pvt Ltd </t>
  </si>
  <si>
    <t>TRASFER TO TL  NOV2023</t>
  </si>
  <si>
    <t xml:space="preserve">Parents  Sweater Ltd </t>
  </si>
  <si>
    <t>Cash  (R:5:154)</t>
  </si>
  <si>
    <t xml:space="preserve">Aristocrate Agro  Ltd </t>
  </si>
  <si>
    <t>Cash ( R:05/168)</t>
  </si>
  <si>
    <t xml:space="preserve">Aristocrate  Non Woven Ltd </t>
  </si>
  <si>
    <t>Cash ( R:05/169)</t>
  </si>
  <si>
    <t>15% MORE</t>
  </si>
  <si>
    <t xml:space="preserve">Pacific Shoes  &amp; Bags Ind Ltd </t>
  </si>
  <si>
    <t>Cash ( R: 05/172</t>
  </si>
  <si>
    <t xml:space="preserve"> MORE THAN 15%</t>
  </si>
  <si>
    <t xml:space="preserve">Sonali Sweater  Ltd </t>
  </si>
  <si>
    <t>Cash , R:05/173</t>
  </si>
  <si>
    <t>ZAKIA COTTONTEX LTD</t>
  </si>
  <si>
    <t>std</t>
  </si>
  <si>
    <t xml:space="preserve">MuTUAL CONCERN CORPORATION </t>
  </si>
  <si>
    <t>Samitex Industries Ltd</t>
  </si>
  <si>
    <t xml:space="preserve">NAFIZ PAPER </t>
  </si>
  <si>
    <t>R:05/185</t>
  </si>
  <si>
    <t>AINUN TRADE HOUSE LTD</t>
  </si>
  <si>
    <t xml:space="preserve">MUTUAL CONCERN CORPORATION </t>
  </si>
  <si>
    <t>,CASH</t>
  </si>
  <si>
    <t xml:space="preserve">,CASH </t>
  </si>
  <si>
    <t xml:space="preserve">THERMEX COLOUR COTTON LTD </t>
  </si>
  <si>
    <t>.CASH</t>
  </si>
  <si>
    <t>,cash</t>
  </si>
  <si>
    <t xml:space="preserve">Dressden Textiles Ltd </t>
  </si>
  <si>
    <t xml:space="preserve">Thermex Blended Yarn Ltd </t>
  </si>
  <si>
    <t xml:space="preserve"> </t>
  </si>
  <si>
    <t xml:space="preserve">,Cash </t>
  </si>
  <si>
    <t>THE GLOBAL PACKING IND PVT LTD</t>
  </si>
  <si>
    <t>TANZINA FASHION LTD</t>
  </si>
  <si>
    <t>SWISS QUALITY LTD</t>
  </si>
  <si>
    <t>,CASJH</t>
  </si>
  <si>
    <t xml:space="preserve">SISTER Denim Composite  Ltd (U2 ) </t>
  </si>
  <si>
    <t xml:space="preserve">THERMAX YARN DYED FABRICS LTD </t>
  </si>
  <si>
    <t xml:space="preserve">THERMAX BLENDED YARN LTD </t>
  </si>
  <si>
    <t>MODA :</t>
  </si>
  <si>
    <t xml:space="preserve">ADURY FASHION &amp; PRINT LTD </t>
  </si>
  <si>
    <t>MODA :16.03.2023</t>
  </si>
  <si>
    <t xml:space="preserve">THERMAX YARN  DYED FABRICS LTD </t>
  </si>
  <si>
    <t>MODA :08.05.2023</t>
  </si>
  <si>
    <t xml:space="preserve">ANTIM KNITING &amp;  DYING  </t>
  </si>
  <si>
    <t>N/A</t>
  </si>
  <si>
    <t xml:space="preserve">R R SPINNING MILL  </t>
  </si>
  <si>
    <t>MODA :07.09.2022</t>
  </si>
  <si>
    <t>MAGPIE COMPOSITE LTD</t>
  </si>
  <si>
    <t>MAGPIE KNITWEAR LTD</t>
  </si>
  <si>
    <t>THERMAX SPINNING LTD ( ??????/)</t>
  </si>
  <si>
    <t xml:space="preserve">MAKS NAHAR LTD </t>
  </si>
  <si>
    <t xml:space="preserve">ML THREAD  LTD ( MODA: 05.01.2023) </t>
  </si>
  <si>
    <t>(MODA: 05.01.2023)</t>
  </si>
  <si>
    <t xml:space="preserve">BASHUDHARA  MULTI STEEL </t>
  </si>
  <si>
    <t>DEFF</t>
  </si>
  <si>
    <t xml:space="preserve">BASHUDHARA  MULTI FOOD </t>
  </si>
  <si>
    <t>SISTER DENIM COMPOSITE UNIT-2</t>
  </si>
  <si>
    <t>M.L THREAD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</si>
  <si>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</si>
  <si>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GPH ISPAT LTD.</t>
  </si>
  <si>
    <t>19/24</t>
  </si>
  <si>
    <t xml:space="preserve">MAKS NAHAR </t>
  </si>
  <si>
    <t>20/24</t>
  </si>
  <si>
    <t>id</t>
  </si>
  <si>
    <t>Company Name</t>
  </si>
  <si>
    <t>type</t>
  </si>
  <si>
    <t xml:space="preserve">DL.NO. </t>
  </si>
  <si>
    <t xml:space="preserve"> DATE OF EXPIRY</t>
  </si>
  <si>
    <t>DISBURSE Date</t>
  </si>
  <si>
    <t>Loan Creation amount</t>
  </si>
  <si>
    <t>Present Outstanding</t>
  </si>
  <si>
    <t>Subtotal</t>
  </si>
  <si>
    <t>Total Recovery</t>
  </si>
  <si>
    <t>classification</t>
  </si>
  <si>
    <t>rf</t>
  </si>
  <si>
    <t>remarks</t>
  </si>
  <si>
    <t xml:space="preserve">THERMAX SPINNING LTD </t>
  </si>
  <si>
    <t>.28/19</t>
  </si>
  <si>
    <t>.31/19</t>
  </si>
  <si>
    <t>:32/19</t>
  </si>
  <si>
    <t>:11/20</t>
  </si>
  <si>
    <t>:26/20a (R:06/135)</t>
  </si>
  <si>
    <t>:27/20</t>
  </si>
  <si>
    <t>:28/20</t>
  </si>
  <si>
    <t>:29/20</t>
  </si>
  <si>
    <t>:30/20( Cm )</t>
  </si>
  <si>
    <t>:31/20</t>
  </si>
  <si>
    <t>:40/20</t>
  </si>
  <si>
    <t>:42/20</t>
  </si>
  <si>
    <t>:43/20</t>
  </si>
  <si>
    <t>:44/20</t>
  </si>
  <si>
    <t>:45/20</t>
  </si>
  <si>
    <t>:02/21</t>
  </si>
  <si>
    <t>:03/21</t>
  </si>
  <si>
    <t>:06/21</t>
  </si>
  <si>
    <t>:07/21</t>
  </si>
  <si>
    <t>:08/21</t>
  </si>
  <si>
    <t>:09/21</t>
  </si>
  <si>
    <t>:10/21</t>
  </si>
  <si>
    <t>:11/21</t>
  </si>
  <si>
    <t>:12/21</t>
  </si>
  <si>
    <t>:13/21</t>
  </si>
  <si>
    <t>:17/21</t>
  </si>
  <si>
    <t>:18/21</t>
  </si>
  <si>
    <t>:19/21</t>
  </si>
  <si>
    <t>:21/21</t>
  </si>
  <si>
    <t>:23/21</t>
  </si>
  <si>
    <t>:24/21</t>
  </si>
  <si>
    <t>:25/21</t>
  </si>
  <si>
    <t>:26/21</t>
  </si>
  <si>
    <t>:28/21</t>
  </si>
  <si>
    <t>:32/21</t>
  </si>
  <si>
    <t>:35/21</t>
  </si>
  <si>
    <t>:36/21</t>
  </si>
  <si>
    <t>:39/21</t>
  </si>
  <si>
    <t>:41/21</t>
  </si>
  <si>
    <t>:42/21</t>
  </si>
  <si>
    <t>:43/21</t>
  </si>
  <si>
    <t>:44/21</t>
  </si>
  <si>
    <t>:01/22</t>
  </si>
  <si>
    <t>:04/22</t>
  </si>
  <si>
    <t>:05/22</t>
  </si>
  <si>
    <t>:09/22</t>
  </si>
  <si>
    <t>:10/22</t>
  </si>
  <si>
    <t>:13/22</t>
  </si>
  <si>
    <t>:17/22</t>
  </si>
  <si>
    <t>:07/23</t>
  </si>
  <si>
    <t>:08/23</t>
  </si>
  <si>
    <t>:10/23</t>
  </si>
  <si>
    <t>:13/23</t>
  </si>
  <si>
    <t>:14/23</t>
  </si>
  <si>
    <t>:23/23</t>
  </si>
  <si>
    <t>:24/23</t>
  </si>
  <si>
    <t>:25/23</t>
  </si>
  <si>
    <t>:26/23</t>
  </si>
  <si>
    <t>:27/23</t>
  </si>
  <si>
    <t>:32/23</t>
  </si>
  <si>
    <t>:33/23</t>
  </si>
  <si>
    <t>:37/23</t>
  </si>
  <si>
    <t>:40/23</t>
  </si>
  <si>
    <t>:02/24</t>
  </si>
  <si>
    <t>:07/24</t>
  </si>
  <si>
    <t>:08/24</t>
  </si>
  <si>
    <t>:13/24</t>
  </si>
  <si>
    <t>:10/24</t>
  </si>
  <si>
    <t>:12/24</t>
  </si>
  <si>
    <t>:14/24</t>
  </si>
  <si>
    <t>:11/24</t>
  </si>
  <si>
    <t>:15/24</t>
  </si>
  <si>
    <t>:22/24</t>
  </si>
  <si>
    <t>:14-10-2020</t>
  </si>
  <si>
    <t>:.14-10-2020</t>
  </si>
  <si>
    <t>:15-10-2020</t>
  </si>
  <si>
    <t>:20-10-2020</t>
  </si>
  <si>
    <t>:22-10-2020</t>
  </si>
  <si>
    <t>:27-10-2020</t>
  </si>
  <si>
    <t>:28-10-2020</t>
  </si>
  <si>
    <t>:20-12-2020</t>
  </si>
  <si>
    <t>:28-12-2020</t>
  </si>
  <si>
    <t>:28-01-2021</t>
  </si>
  <si>
    <t>:02-03-2021</t>
  </si>
  <si>
    <t>:08-03-2021</t>
  </si>
  <si>
    <t>:21-03-2021</t>
  </si>
  <si>
    <t>:26-04-2021</t>
  </si>
  <si>
    <t>:08-062021</t>
  </si>
  <si>
    <t>:22-6-2021</t>
  </si>
  <si>
    <t>:27-06-2021</t>
  </si>
  <si>
    <t>:29-07-2021</t>
  </si>
  <si>
    <t>:17-08-2021</t>
  </si>
  <si>
    <t>:26-08-2021</t>
  </si>
  <si>
    <t>:02-09-2021</t>
  </si>
  <si>
    <t>:08-9-2021</t>
  </si>
  <si>
    <t>:16-09-2021</t>
  </si>
  <si>
    <t>:22-09-2021</t>
  </si>
  <si>
    <t>:31-10-2021</t>
  </si>
  <si>
    <t>:11-11-2021</t>
  </si>
  <si>
    <t>:28-11-2021</t>
  </si>
  <si>
    <t>:22-12-2021</t>
  </si>
  <si>
    <t>:23-01-2022</t>
  </si>
  <si>
    <t>:27-02-2022</t>
  </si>
  <si>
    <t>:28-2-2022</t>
  </si>
  <si>
    <t>:08-03-2022</t>
  </si>
  <si>
    <t>:06-06-2022</t>
  </si>
  <si>
    <t>:27-04-2023</t>
  </si>
  <si>
    <t>:20-07-2023</t>
  </si>
  <si>
    <t>:30-12-2024</t>
  </si>
  <si>
    <t>BTB</t>
  </si>
  <si>
    <t>AXIS SWEATER LTD</t>
  </si>
  <si>
    <t>03/04</t>
  </si>
  <si>
    <t>28-04-04</t>
  </si>
  <si>
    <t>CONSOLIDATED APPL.LTD.</t>
  </si>
  <si>
    <t>210/97</t>
  </si>
  <si>
    <t>30/10/97</t>
  </si>
  <si>
    <t>217/97</t>
  </si>
  <si>
    <t>17/11/97</t>
  </si>
  <si>
    <t>218/97</t>
  </si>
  <si>
    <t>219/97</t>
  </si>
  <si>
    <t>224/97</t>
  </si>
  <si>
    <t>19/11/97</t>
  </si>
  <si>
    <t>227/97</t>
  </si>
  <si>
    <t>03-12-97</t>
  </si>
  <si>
    <t>228/97</t>
  </si>
  <si>
    <t>03-12-98</t>
  </si>
  <si>
    <t>1/98</t>
  </si>
  <si>
    <t>14/1/98</t>
  </si>
  <si>
    <t>2/98</t>
  </si>
  <si>
    <t>7/98</t>
  </si>
  <si>
    <t>12-03-98</t>
  </si>
  <si>
    <t>33/98</t>
  </si>
  <si>
    <t>28/12/98</t>
  </si>
  <si>
    <t>34/98</t>
  </si>
  <si>
    <t>24/01</t>
  </si>
  <si>
    <t>07-10-01</t>
  </si>
  <si>
    <t>AUGUST APPL.LTD.</t>
  </si>
  <si>
    <t>137/96</t>
  </si>
  <si>
    <t>14/8/96</t>
  </si>
  <si>
    <t>HAVANA GARMENTS LTD</t>
  </si>
  <si>
    <t>2/87</t>
  </si>
  <si>
    <t>3/89</t>
  </si>
  <si>
    <t>27/7/89</t>
  </si>
  <si>
    <t>26/93</t>
  </si>
  <si>
    <t>24/11/93</t>
  </si>
  <si>
    <t>28/93</t>
  </si>
  <si>
    <t>29/12/93</t>
  </si>
  <si>
    <t>29/94</t>
  </si>
  <si>
    <t>39/94</t>
  </si>
  <si>
    <t>120/96</t>
  </si>
  <si>
    <t>25/4/96</t>
  </si>
  <si>
    <t>150/96</t>
  </si>
  <si>
    <t>19/11/96</t>
  </si>
  <si>
    <t xml:space="preserve">M.HOSSAIN GARMENTS </t>
  </si>
  <si>
    <t>185/97</t>
  </si>
  <si>
    <t>RAINBOO PRODUCTS LTD</t>
  </si>
  <si>
    <t>45/05</t>
  </si>
  <si>
    <t>22/11/05</t>
  </si>
  <si>
    <t>01/06</t>
  </si>
  <si>
    <t>19/2/06</t>
  </si>
  <si>
    <t>WIND MILL SWEATER LTD</t>
  </si>
  <si>
    <t>32/98</t>
  </si>
  <si>
    <t>1.4-1.04</t>
  </si>
  <si>
    <t>TINA KNITING LTD</t>
  </si>
  <si>
    <t>189/97</t>
  </si>
  <si>
    <t>28/5/97</t>
  </si>
  <si>
    <t>SHAH ALI KNITWEAR</t>
  </si>
  <si>
    <t>04/07</t>
  </si>
  <si>
    <t>29.03.07</t>
  </si>
  <si>
    <t>UNI ASIA TEXTILE LTD</t>
  </si>
  <si>
    <t>.29/04</t>
  </si>
  <si>
    <t>30/12/04</t>
  </si>
  <si>
    <t>COMMISSIONER APPLS.LTD</t>
  </si>
  <si>
    <t>17/02</t>
  </si>
  <si>
    <t>30/12/02</t>
  </si>
  <si>
    <t>BENGAL FRIENDS &amp; CO.LTD</t>
  </si>
  <si>
    <t>34/05</t>
  </si>
  <si>
    <t>15/6/05</t>
  </si>
  <si>
    <t>CHAIN INDUSTIRES LTD</t>
  </si>
  <si>
    <t>24/93</t>
  </si>
  <si>
    <t>17/6/93</t>
  </si>
  <si>
    <t>25/93</t>
  </si>
  <si>
    <t>21/7/93</t>
  </si>
  <si>
    <t>EVEREST APPARELS LTD</t>
  </si>
  <si>
    <t>159/96</t>
  </si>
  <si>
    <t>30/12/96</t>
  </si>
  <si>
    <t>167/97</t>
  </si>
  <si>
    <t>21/04</t>
  </si>
  <si>
    <t>SAAM BUSINESS PVT.LTD</t>
  </si>
  <si>
    <t>94/95</t>
  </si>
  <si>
    <t>19/11/95</t>
  </si>
  <si>
    <t>142/96</t>
  </si>
  <si>
    <t>22/8/96</t>
  </si>
  <si>
    <t>156/96</t>
  </si>
  <si>
    <t>28/12/96</t>
  </si>
  <si>
    <t>19/98</t>
  </si>
  <si>
    <t>26/98</t>
  </si>
  <si>
    <t>25/11/98</t>
  </si>
  <si>
    <t>5/98</t>
  </si>
  <si>
    <t>9/02</t>
  </si>
  <si>
    <t>SAHIDULLAH KHAN M.P.</t>
  </si>
  <si>
    <t>48/95</t>
  </si>
  <si>
    <t>18/1/95</t>
  </si>
  <si>
    <t>SIKDER FOOD &amp; IND.COLTD</t>
  </si>
  <si>
    <t>19/04</t>
  </si>
  <si>
    <t>24/11/04</t>
  </si>
  <si>
    <t>SHITALAKHMA ICE &amp; COLD</t>
  </si>
  <si>
    <t>11/05</t>
  </si>
  <si>
    <t>TOUGH STITCH APPARELS</t>
  </si>
  <si>
    <t>7/88</t>
  </si>
  <si>
    <t>13/11388</t>
  </si>
  <si>
    <t>22/91</t>
  </si>
  <si>
    <t>14/5/91</t>
  </si>
  <si>
    <t>VEGA SWEATER PVT LTD</t>
  </si>
  <si>
    <t>24/04</t>
  </si>
  <si>
    <t>11-12-04</t>
  </si>
  <si>
    <t>APPARELS &amp; APPL.LTD.</t>
  </si>
  <si>
    <t>15/02</t>
  </si>
  <si>
    <t>30-12-02</t>
  </si>
  <si>
    <t>24/06</t>
  </si>
  <si>
    <t>27-12-06</t>
  </si>
  <si>
    <t xml:space="preserve">BLUE STAR APPARELS </t>
  </si>
  <si>
    <t>6/02</t>
  </si>
  <si>
    <t>CENTURY KNITWEAR LTD</t>
  </si>
  <si>
    <t>20/04</t>
  </si>
  <si>
    <t>30/11/04</t>
  </si>
  <si>
    <t>07/05</t>
  </si>
  <si>
    <t>03/1/05</t>
  </si>
  <si>
    <t>22/05</t>
  </si>
  <si>
    <t>20/3/05</t>
  </si>
  <si>
    <t>47/05</t>
  </si>
  <si>
    <t>48/05</t>
  </si>
  <si>
    <t>49/05</t>
  </si>
  <si>
    <t>26/12/05</t>
  </si>
  <si>
    <t>INFINITY TECH.INT'L LTD</t>
  </si>
  <si>
    <t>13/02</t>
  </si>
  <si>
    <t>13/11/02</t>
  </si>
  <si>
    <t>14/02</t>
  </si>
  <si>
    <t>01/03</t>
  </si>
  <si>
    <t>28/1/03</t>
  </si>
  <si>
    <t>30/04</t>
  </si>
  <si>
    <t>MILLINIUM INTL LTD</t>
  </si>
  <si>
    <t>31/04</t>
  </si>
  <si>
    <t>MAYN INT'L LTD.</t>
  </si>
  <si>
    <t>11/92</t>
  </si>
  <si>
    <t>13/10/92</t>
  </si>
  <si>
    <t>204/97</t>
  </si>
  <si>
    <t>4/98</t>
  </si>
  <si>
    <t>21/1/98</t>
  </si>
  <si>
    <t>9/98</t>
  </si>
  <si>
    <t>31/3/98</t>
  </si>
  <si>
    <t>SHAMRAT FASHIONS LTD</t>
  </si>
  <si>
    <t>.17/04</t>
  </si>
  <si>
    <t>SAVAR GARMENTS LTD</t>
  </si>
  <si>
    <t>20/08</t>
  </si>
  <si>
    <t>21/08</t>
  </si>
  <si>
    <t xml:space="preserve">SAVAR GARMENTS LTD </t>
  </si>
  <si>
    <t>22/08</t>
  </si>
  <si>
    <t>23/08</t>
  </si>
  <si>
    <t>INTERWING KNIT.WEAR LTD.</t>
  </si>
  <si>
    <t>15/07</t>
  </si>
  <si>
    <t>36/12</t>
  </si>
  <si>
    <t>64/12</t>
  </si>
  <si>
    <t>SNOW  WHITE COTTON LTD</t>
  </si>
  <si>
    <t>.67/12</t>
  </si>
  <si>
    <t>R:03/67</t>
  </si>
  <si>
    <t>AB FASHION LTD</t>
  </si>
  <si>
    <t>.26/12</t>
  </si>
  <si>
    <t>.54/12</t>
  </si>
  <si>
    <t>NEW BROTHER KNITWEAR LTD</t>
  </si>
  <si>
    <t>04/06</t>
  </si>
  <si>
    <t>30/3/06</t>
  </si>
  <si>
    <t>F.R.GARMENTS LTD</t>
  </si>
  <si>
    <t>37/94</t>
  </si>
  <si>
    <t>15/11/94</t>
  </si>
  <si>
    <t>52/95</t>
  </si>
  <si>
    <t>30/1/95</t>
  </si>
  <si>
    <t>155/96</t>
  </si>
  <si>
    <t>2812/96</t>
  </si>
  <si>
    <t>PROPHECY APPL (PVT) LTD</t>
  </si>
  <si>
    <t>.14/11</t>
  </si>
  <si>
    <t>.02/12</t>
  </si>
  <si>
    <t>.25/12</t>
  </si>
  <si>
    <t>BORAX APPARELS LTD</t>
  </si>
  <si>
    <t>.08/13</t>
  </si>
  <si>
    <t>r:03/78</t>
  </si>
  <si>
    <t>.02/14</t>
  </si>
  <si>
    <t>r:03/93</t>
  </si>
  <si>
    <t>ORK THREAD</t>
  </si>
  <si>
    <t>.11/14</t>
  </si>
  <si>
    <t>.08/15</t>
  </si>
  <si>
    <t>ZEAL TEXTILE</t>
  </si>
  <si>
    <t>.07/15</t>
  </si>
  <si>
    <t>f;201 r :04</t>
  </si>
  <si>
    <t>13/18</t>
  </si>
  <si>
    <t>r :004 f 183</t>
  </si>
  <si>
    <t>20/18</t>
  </si>
  <si>
    <t xml:space="preserve">r :004 f 191 </t>
  </si>
  <si>
    <t>HORIZONE  FASHION(BTB)</t>
  </si>
  <si>
    <t>19/18</t>
  </si>
  <si>
    <t>r 04, f 190</t>
  </si>
  <si>
    <t>27/18</t>
  </si>
  <si>
    <t>r 04, f 200</t>
  </si>
  <si>
    <t>03/18</t>
  </si>
  <si>
    <t>DRESDEN TEXTILE LTD</t>
  </si>
  <si>
    <t>30/18</t>
  </si>
  <si>
    <t>LEEU FASHION (S.N:07)</t>
  </si>
  <si>
    <t>31/18</t>
  </si>
  <si>
    <t>DF</t>
  </si>
  <si>
    <t>r;05, f :09,10</t>
  </si>
  <si>
    <t xml:space="preserve">LEEU FASHION </t>
  </si>
  <si>
    <t>3/19</t>
  </si>
  <si>
    <t>r;05, f :19</t>
  </si>
  <si>
    <t>5/19</t>
  </si>
  <si>
    <t>r;05, f :23</t>
  </si>
  <si>
    <t>11/19</t>
  </si>
  <si>
    <t>r;05, f :35</t>
  </si>
  <si>
    <t>SONALI FAB &amp; TEXTTILE MILLS (BTB)</t>
  </si>
  <si>
    <t>32//18</t>
  </si>
  <si>
    <t xml:space="preserve">SS, (R: 12,62, F: 05) </t>
  </si>
  <si>
    <t>talk problem (R:05/12)</t>
  </si>
  <si>
    <t xml:space="preserve">LUMEN TEXTILE MILL </t>
  </si>
  <si>
    <t>res01/19</t>
  </si>
  <si>
    <t>RES 01</t>
  </si>
  <si>
    <t>r 05, f 49</t>
  </si>
  <si>
    <t>ADVANCED  COM. TEXTILE LTD</t>
  </si>
  <si>
    <t>35/15</t>
  </si>
  <si>
    <t>15/17</t>
  </si>
  <si>
    <t>WISTERIA TEXTILES LIMITED</t>
  </si>
  <si>
    <t>17/17</t>
  </si>
  <si>
    <t>05/18</t>
  </si>
  <si>
    <t>06/18</t>
  </si>
  <si>
    <t>33/18</t>
  </si>
  <si>
    <t>34/18</t>
  </si>
  <si>
    <t>35/18</t>
  </si>
  <si>
    <t>4/19</t>
  </si>
  <si>
    <t>ss</t>
  </si>
  <si>
    <t>F:21, R: 05</t>
  </si>
  <si>
    <t>PARENTS SWEATER LTD</t>
  </si>
  <si>
    <t>14/19</t>
  </si>
  <si>
    <t xml:space="preserve">BL </t>
  </si>
  <si>
    <t>R: 05, F 41</t>
  </si>
  <si>
    <t>SUBORNNO BAN LTD</t>
  </si>
  <si>
    <t>14/17</t>
  </si>
  <si>
    <t>r:146 f: 04</t>
  </si>
  <si>
    <t>HASHMATULLAH KNIT WEAR LTD</t>
  </si>
  <si>
    <t>.08/11</t>
  </si>
  <si>
    <t>BL/WRITE</t>
  </si>
  <si>
    <t>,31/1 (r:03/31)</t>
  </si>
  <si>
    <t xml:space="preserve">Carfull for CL </t>
  </si>
  <si>
    <t>21/19</t>
  </si>
  <si>
    <t>R: 05, F 64</t>
  </si>
  <si>
    <t>DRAGON Sweater (BCK)</t>
  </si>
  <si>
    <t>22/19</t>
  </si>
  <si>
    <t>r: 05, f: 66</t>
  </si>
  <si>
    <t xml:space="preserve">DRAGON Sweater </t>
  </si>
  <si>
    <t>Horizon Fashion Ltd (bck)</t>
  </si>
  <si>
    <t>23/19</t>
  </si>
  <si>
    <t xml:space="preserve">                                          </t>
  </si>
  <si>
    <t xml:space="preserve">                                     </t>
  </si>
  <si>
    <t xml:space="preserve">Horizon Fashion Ltd </t>
  </si>
  <si>
    <t>R R Sweater Ltd, Dhaka ((BCK)</t>
  </si>
  <si>
    <t>,02/20</t>
  </si>
  <si>
    <t>R:05/92</t>
  </si>
  <si>
    <t xml:space="preserve">R R Sweater Ltd, Dhaka </t>
  </si>
  <si>
    <t>Shahba Yarn Mills Ltd( bcK)</t>
  </si>
  <si>
    <t>,3/20</t>
  </si>
  <si>
    <t>22-01-202</t>
  </si>
  <si>
    <t>R:05/94</t>
  </si>
  <si>
    <t>Shahba Yarn Mills Ltd</t>
  </si>
  <si>
    <t>BCK acmula</t>
  </si>
  <si>
    <t>,04/20</t>
  </si>
  <si>
    <t>R;05/96</t>
  </si>
  <si>
    <t xml:space="preserve"> Dragon Sweater (BCK)</t>
  </si>
  <si>
    <t>,07/20</t>
  </si>
  <si>
    <t>23-02-.2020</t>
  </si>
  <si>
    <t>.23-02-2020</t>
  </si>
  <si>
    <t>r:05/104</t>
  </si>
  <si>
    <t xml:space="preserve"> Dragon Sweater </t>
  </si>
  <si>
    <t>Magpie Knitwear Ltd ( BCK )</t>
  </si>
  <si>
    <t>.08/20</t>
  </si>
  <si>
    <t>r:05/106</t>
  </si>
  <si>
    <t xml:space="preserve">Magpie Knitwear Ltd </t>
  </si>
  <si>
    <t>13/20</t>
  </si>
  <si>
    <t>R:05/116</t>
  </si>
  <si>
    <t>LEUU FASHIONS LTD</t>
  </si>
  <si>
    <t>14/20</t>
  </si>
  <si>
    <t>R:05/118</t>
  </si>
  <si>
    <t>16/20</t>
  </si>
  <si>
    <t>R:05/122</t>
  </si>
  <si>
    <t>17/20</t>
  </si>
  <si>
    <t>R:05/124</t>
  </si>
  <si>
    <t>18/20</t>
  </si>
  <si>
    <t>R:05/126</t>
  </si>
  <si>
    <t>PacificFootwear Ind Ltd</t>
  </si>
  <si>
    <t xml:space="preserve">btb </t>
  </si>
  <si>
    <t>21/20</t>
  </si>
  <si>
    <t>R:05/132</t>
  </si>
  <si>
    <t>22/20</t>
  </si>
  <si>
    <t>28-092020</t>
  </si>
  <si>
    <t>R:05/134</t>
  </si>
  <si>
    <t>She &amp; He Appreals Ltd</t>
  </si>
  <si>
    <t>,23/20</t>
  </si>
  <si>
    <t>,11-10-2020</t>
  </si>
  <si>
    <t xml:space="preserve">Antim knitting Dyeing &amp; Fashion Ltd </t>
  </si>
  <si>
    <t>b2b</t>
  </si>
  <si>
    <t>,25/20</t>
  </si>
  <si>
    <t>,13-10-2020</t>
  </si>
  <si>
    <t>,37/20</t>
  </si>
  <si>
    <t>,05-11-2020</t>
  </si>
  <si>
    <t xml:space="preserve">Trust FABRICS AND KNITING (PVT) L </t>
  </si>
  <si>
    <t>,01/21</t>
  </si>
  <si>
    <t>,03-01-2021</t>
  </si>
  <si>
    <t>,04/21</t>
  </si>
  <si>
    <t>,07-02-2021</t>
  </si>
  <si>
    <t>Advance Composite Textile Ltd</t>
  </si>
  <si>
    <t>B2B</t>
  </si>
  <si>
    <t>,05/21</t>
  </si>
  <si>
    <t>,08-02-2021</t>
  </si>
  <si>
    <t>,14/21</t>
  </si>
  <si>
    <t>,11-05-2021</t>
  </si>
  <si>
    <t>,15/21</t>
  </si>
  <si>
    <t>,31-05-2021</t>
  </si>
  <si>
    <t>,16/21</t>
  </si>
  <si>
    <t>,07-06-2021</t>
  </si>
  <si>
    <t>DRESDEN TEXTILES LTD</t>
  </si>
  <si>
    <t>,20/21</t>
  </si>
  <si>
    <t>,23-06-2021</t>
  </si>
  <si>
    <t xml:space="preserve">Magpie Composite Textile Ltd </t>
  </si>
  <si>
    <t>,22/21</t>
  </si>
  <si>
    <t>,28-06-2021</t>
  </si>
  <si>
    <t xml:space="preserve">Mahid Appreals Ltd </t>
  </si>
  <si>
    <t>,27/21</t>
  </si>
  <si>
    <t>,08-09-2021</t>
  </si>
  <si>
    <t>ASSERTION DESIGNERS LTD</t>
  </si>
  <si>
    <t>,29/21</t>
  </si>
  <si>
    <t>,12-09-2021</t>
  </si>
  <si>
    <t>Fay Max Sweater Composite Ltd</t>
  </si>
  <si>
    <t>,33/21</t>
  </si>
  <si>
    <t>,19-09-2021</t>
  </si>
  <si>
    <t>,34/21</t>
  </si>
  <si>
    <t>,21-09-2021</t>
  </si>
  <si>
    <t xml:space="preserve">Assertion Designers Ltd </t>
  </si>
  <si>
    <t>,37/21</t>
  </si>
  <si>
    <t>,26-09-2021</t>
  </si>
  <si>
    <t>Pacific Footwear Industry Ltd</t>
  </si>
  <si>
    <t>,btb</t>
  </si>
  <si>
    <t>,38/21</t>
  </si>
  <si>
    <t>,30-09-2021</t>
  </si>
  <si>
    <t>,40/21</t>
  </si>
  <si>
    <t>HORIZON FASHIONLTD</t>
  </si>
  <si>
    <t>,02/22</t>
  </si>
  <si>
    <t>,13-01-2022</t>
  </si>
  <si>
    <t xml:space="preserve">TRUST FABRICS AND KNITING (PVT) L </t>
  </si>
  <si>
    <t>,03/22</t>
  </si>
  <si>
    <t>,18-01-2022</t>
  </si>
  <si>
    <t>Magpie knitwear ltd</t>
  </si>
  <si>
    <t>,06/22</t>
  </si>
  <si>
    <t>,07/22</t>
  </si>
  <si>
    <t>,16-02-2022</t>
  </si>
  <si>
    <t>SHE &amp; He Appreals Ltd</t>
  </si>
  <si>
    <t>,08/22</t>
  </si>
  <si>
    <t>,17-02-2022</t>
  </si>
  <si>
    <t>,12/22</t>
  </si>
  <si>
    <t>,02-03-2022</t>
  </si>
  <si>
    <t>MAGPIE KNITWEAR LTD (BTB)</t>
  </si>
  <si>
    <t>,14/22</t>
  </si>
  <si>
    <t>,10-04--2022</t>
  </si>
  <si>
    <t>,15/22</t>
  </si>
  <si>
    <t>,25-04--2022</t>
  </si>
  <si>
    <t>HORIZON FASHION LTD</t>
  </si>
  <si>
    <t>,16/22</t>
  </si>
  <si>
    <t>,18/22</t>
  </si>
  <si>
    <t>,12-06-2022</t>
  </si>
  <si>
    <t xml:space="preserve">ALEMA TEXTILE LTD </t>
  </si>
  <si>
    <t>,19/22</t>
  </si>
  <si>
    <t>,03-08-2022</t>
  </si>
  <si>
    <t>PACIFIC FOOTWEAR INDUSTRIES LTD</t>
  </si>
  <si>
    <t>,20/22</t>
  </si>
  <si>
    <t>,21-08-2022</t>
  </si>
  <si>
    <t>ANTIM KNITWEAR  LTD</t>
  </si>
  <si>
    <t>,21/22</t>
  </si>
  <si>
    <t>,25-08-2022</t>
  </si>
  <si>
    <t>Res:29.12.2022</t>
  </si>
  <si>
    <t>,26/22</t>
  </si>
  <si>
    <t>,11-10-2022</t>
  </si>
  <si>
    <t>,11-1-2022</t>
  </si>
  <si>
    <t xml:space="preserve">SONALI FEBRICS &amp; TEXTILE MILLS  LTD </t>
  </si>
  <si>
    <t>,27/22 (r:06/119)</t>
  </si>
  <si>
    <t>,13-10-2022</t>
  </si>
  <si>
    <t>,13-1-2022</t>
  </si>
  <si>
    <t>,28/22</t>
  </si>
  <si>
    <t>,06-12-2022</t>
  </si>
  <si>
    <t xml:space="preserve">YARA KNITWEAR LTD </t>
  </si>
  <si>
    <t>,01/23 (r:06/133)</t>
  </si>
  <si>
    <t>,20-03-2023</t>
  </si>
  <si>
    <t>,009/23(r:06/153)</t>
  </si>
  <si>
    <t>,07-05-2023</t>
  </si>
  <si>
    <t>R:11/23</t>
  </si>
  <si>
    <t>,21-05-2023</t>
  </si>
  <si>
    <t xml:space="preserve">ADURY  APPREALS  LTD </t>
  </si>
  <si>
    <t>R:12/23</t>
  </si>
  <si>
    <t>,22-05-2023</t>
  </si>
  <si>
    <t>TRUST FABRICS AND KNITINGPVT L</t>
  </si>
  <si>
    <t>R:15/23</t>
  </si>
  <si>
    <t>,04-06-2023</t>
  </si>
  <si>
    <t>TTT LEATHER FOOTWEAR IND PVT LTD</t>
  </si>
  <si>
    <t>R:16/23</t>
  </si>
  <si>
    <t>,14-06-2023</t>
  </si>
  <si>
    <t>R:17/23</t>
  </si>
  <si>
    <t>,15-06-2023</t>
  </si>
  <si>
    <t xml:space="preserve">FAY MAX SWEATER LTD </t>
  </si>
  <si>
    <t>R:28/23</t>
  </si>
  <si>
    <t>,26-07-2023</t>
  </si>
  <si>
    <t>MODA 17.005.2022</t>
  </si>
  <si>
    <t xml:space="preserve">ANTIM KNITTING DYING &amp; FINISHING LTD LTD </t>
  </si>
  <si>
    <t>R:29/23</t>
  </si>
  <si>
    <t>,3107-2023</t>
  </si>
  <si>
    <t>MODA 31.05.203</t>
  </si>
  <si>
    <t xml:space="preserve">ANTIM KNIT COMPOSITE LTD LTD </t>
  </si>
  <si>
    <t>R:31/23</t>
  </si>
  <si>
    <t xml:space="preserve">MATCH WITH CIB </t>
  </si>
  <si>
    <t xml:space="preserve">ADVANCE  COMPOSITE TEXTILE  LTD  </t>
  </si>
  <si>
    <t>R:34/23(R:07/11)</t>
  </si>
  <si>
    <t>,17-08-2023</t>
  </si>
  <si>
    <t xml:space="preserve">MAGPIE KNITWEAR   LTD  </t>
  </si>
  <si>
    <t>R:35/23(R:07/15)</t>
  </si>
  <si>
    <t>,21-08-2023</t>
  </si>
  <si>
    <t xml:space="preserve">MAGPIE COMPOSITE MIKLLS    LTD  </t>
  </si>
  <si>
    <t>R:36/23(R:07/15)</t>
  </si>
  <si>
    <t>ADURY APPREALS LTD , (MODA28.03.2023)</t>
  </si>
  <si>
    <t>R:39/23(07/23</t>
  </si>
  <si>
    <t xml:space="preserve">R R SWEATER </t>
  </si>
  <si>
    <t xml:space="preserve">R:41/23(07/27) </t>
  </si>
  <si>
    <t>ENTRUST TEXTILE LTD</t>
  </si>
  <si>
    <t xml:space="preserve">R:42/23(07/29) </t>
  </si>
  <si>
    <t>31-10-20233</t>
  </si>
  <si>
    <t>adury fasHION &amp; PRINT LTD error 28.12.2023</t>
  </si>
  <si>
    <t>ANTIM KNIT &amp; DYING FACTORY LTD</t>
  </si>
  <si>
    <t xml:space="preserve">R: 04/24(07/43)  </t>
  </si>
  <si>
    <t>ECO STAR APPARELS LTD.</t>
  </si>
  <si>
    <t>R:07/57(09/24)</t>
  </si>
  <si>
    <t>16/24</t>
  </si>
  <si>
    <t>,17/24</t>
  </si>
  <si>
    <t>PARENTS APPEARLS</t>
  </si>
  <si>
    <t>18/24</t>
  </si>
  <si>
    <t>ROAR FASHION</t>
  </si>
  <si>
    <t>21/24</t>
  </si>
  <si>
    <t>UC/RES F: 35, R: 04</t>
  </si>
  <si>
    <t>RES</t>
  </si>
  <si>
    <t>AXIS SWEATER LTD Count</t>
  </si>
  <si>
    <t>CONSOLIDATED APPL.LTD. Count</t>
  </si>
  <si>
    <t>AUGUST APPL.LTD. Count</t>
  </si>
  <si>
    <t>HAVANA GARMENTS LTD Count</t>
  </si>
  <si>
    <t>M.HOSSAIN GARMENTS  Count</t>
  </si>
  <si>
    <t>RAINBOO PRODUCTS LTD Count</t>
  </si>
  <si>
    <t>WIND MILL SWEATER LTD Count</t>
  </si>
  <si>
    <t>TINA KNITING LTD Count</t>
  </si>
  <si>
    <t>SHAH ALI KNITWEAR Count</t>
  </si>
  <si>
    <t>UNI ASIA TEXTILE LTD Count</t>
  </si>
  <si>
    <t>COMMISSIONER APPLS.LTD Count</t>
  </si>
  <si>
    <t>BENGAL FRIENDS &amp; CO.LTD Count</t>
  </si>
  <si>
    <t>CHAIN INDUSTIRES LTD Count</t>
  </si>
  <si>
    <t>EVEREST APPARELS LTD Count</t>
  </si>
  <si>
    <t>SAAM BUSINESS PVT.LTD Count</t>
  </si>
  <si>
    <t>SAHIDULLAH KHAN M.P. Count</t>
  </si>
  <si>
    <t>SIKDER FOOD &amp; IND.COLTD Count</t>
  </si>
  <si>
    <t>SHITALAKHMA ICE &amp; COLD Count</t>
  </si>
  <si>
    <t>TOUGH STITCH APPARELS Count</t>
  </si>
  <si>
    <t>VEGA SWEATER PVT LTD Count</t>
  </si>
  <si>
    <t>APPARELS &amp; APPL.LTD. Count</t>
  </si>
  <si>
    <t>BLUE STAR APPARELS  Count</t>
  </si>
  <si>
    <t>CENTURY KNITWEAR LTD Count</t>
  </si>
  <si>
    <t>INFINITY TECH.INT'L LTD Count</t>
  </si>
  <si>
    <t>MILLINIUM INTL LTD Count</t>
  </si>
  <si>
    <t>MAYN INT'L LTD. Count</t>
  </si>
  <si>
    <t>SHAMRAT FASHIONS LTD Count</t>
  </si>
  <si>
    <t>SAVAR GARMENTS LTD Count</t>
  </si>
  <si>
    <t>INTERWING KNIT.WEAR LTD. Count</t>
  </si>
  <si>
    <t>SNOW  WHITE COTTON LTD Count</t>
  </si>
  <si>
    <t>AB FASHION LTD Count</t>
  </si>
  <si>
    <t>NEW BROTHER KNITWEAR LTD Count</t>
  </si>
  <si>
    <t>F.R.GARMENTS LTD Count</t>
  </si>
  <si>
    <t>PROPHECY APPL (PVT) LTD Count</t>
  </si>
  <si>
    <t>BORAX APPARELS LTD Count</t>
  </si>
  <si>
    <t>ORK THREAD Count</t>
  </si>
  <si>
    <t>ZEAL TEXTILE Count</t>
  </si>
  <si>
    <t>SHAHABA YARN LTD(CASH LC) Count</t>
  </si>
  <si>
    <t>SHAHABA YARN LTD(BTB LC) Count</t>
  </si>
  <si>
    <t>HORIZONE  FASHION(BTB) Count</t>
  </si>
  <si>
    <t>DRESDEN TEXTILE LTD Count</t>
  </si>
  <si>
    <t>LEEU FASHION (S.N:07) Count</t>
  </si>
  <si>
    <t>LEEU FASHION  Count</t>
  </si>
  <si>
    <t>SONALI FAB &amp; TEXTTILE MILLS (BTB) Count</t>
  </si>
  <si>
    <t>LUMEN TEXTILE MILL  Count</t>
  </si>
  <si>
    <t>ADVANCED  COM. TEXTILE LTD Count</t>
  </si>
  <si>
    <t>WISTERIA TEXTILES LIMITED Count</t>
  </si>
  <si>
    <t>PARENTS SWEATER LTD Count</t>
  </si>
  <si>
    <t>SUBORNNO BAN LTD Count</t>
  </si>
  <si>
    <t>PACIFIC A1 SWEATER Count</t>
  </si>
  <si>
    <t>HASHMATULLAH KNIT WEAR LTD Count</t>
  </si>
  <si>
    <t>DRAGON Sweater (BCK) Count</t>
  </si>
  <si>
    <t>DRAGON Sweater  Count</t>
  </si>
  <si>
    <t>Horizon Fashion Ltd (bck) Count</t>
  </si>
  <si>
    <t>Horizon Fashion Ltd  Count</t>
  </si>
  <si>
    <t>R R Sweater Ltd, Dhaka ((BCK) Count</t>
  </si>
  <si>
    <t>R R Sweater Ltd, Dhaka  Count</t>
  </si>
  <si>
    <t>Shahba Yarn Mills Ltd( bcK) Count</t>
  </si>
  <si>
    <t>Shahba Yarn Mills Ltd Count</t>
  </si>
  <si>
    <t>LEEU FASHION  ( bcK ) Count</t>
  </si>
  <si>
    <t xml:space="preserve"> Dragon Sweater (BCK) Count</t>
  </si>
  <si>
    <t xml:space="preserve"> Dragon Sweater  Count</t>
  </si>
  <si>
    <t>Magpie Knitwear Ltd ( BCK ) Count</t>
  </si>
  <si>
    <t>Magpie Knitwear Ltd  Count</t>
  </si>
  <si>
    <t>LEUU FASHIONS LTD Count</t>
  </si>
  <si>
    <t>LEEU FASHION LTD  Count</t>
  </si>
  <si>
    <t>PacificFootwear Ind Ltd Count</t>
  </si>
  <si>
    <t>Advance Com  Tex  Ltd  Count</t>
  </si>
  <si>
    <t>She &amp; He Appreals Ltd Count</t>
  </si>
  <si>
    <t>Antim knitting Dyeing &amp; Fashion Ltd  Count</t>
  </si>
  <si>
    <t>Trust FABRICS AND KNITING (PVT) L  Count</t>
  </si>
  <si>
    <t>Advance Composite Textile Ltd Count</t>
  </si>
  <si>
    <t>Samitex Industries Ltd Count</t>
  </si>
  <si>
    <t>DRESDEN TEXTILES LTD Count</t>
  </si>
  <si>
    <t>Magpie Composite Textile Ltd  Count</t>
  </si>
  <si>
    <t>Mahid Appreals Ltd  Count</t>
  </si>
  <si>
    <t>ASSERTION DESIGNERS LTD Count</t>
  </si>
  <si>
    <t>Fay Max Sweater Composite Ltd Count</t>
  </si>
  <si>
    <t>Assertion Designers Ltd  Count</t>
  </si>
  <si>
    <t>Pacific Footwear Industry Ltd Count</t>
  </si>
  <si>
    <t>HORIZON FASHIONLTD Count</t>
  </si>
  <si>
    <t>TRUST FABRICS AND KNITING (PVT) L  Count</t>
  </si>
  <si>
    <t>Magpie knitwear ltd Count</t>
  </si>
  <si>
    <t>SHE &amp; He Appreals Ltd Count</t>
  </si>
  <si>
    <t>MAGPIE KNITWEAR LTD (BTB) Count</t>
  </si>
  <si>
    <t>HORIZON FASHION LTD Count</t>
  </si>
  <si>
    <t>ALEMA TEXTILE LTD  Count</t>
  </si>
  <si>
    <t>PACIFIC FOOTWEAR INDUSTRIES LTD Count</t>
  </si>
  <si>
    <t>ANTIM KNITWEAR  LTD Count</t>
  </si>
  <si>
    <t>SONALI FEBRICS &amp; TEXTILE MILLS  LTD  Count</t>
  </si>
  <si>
    <t>YARA KNITWEAR LTD  Count</t>
  </si>
  <si>
    <t>ADURY FASHION &amp; PRINT LTD  Count</t>
  </si>
  <si>
    <t>ADURY  APPREALS  LTD  Count</t>
  </si>
  <si>
    <t>TRUST FABRICS AND KNITINGPVT L Count</t>
  </si>
  <si>
    <t>TTT LEATHER FOOTWEAR IND PVT LTD Count</t>
  </si>
  <si>
    <t>FAY MAX SWEATER LTD  Count</t>
  </si>
  <si>
    <t>ANTIM KNITTING DYING &amp; FINISHING LTD LTD  Count</t>
  </si>
  <si>
    <t>ANTIM KNIT COMPOSITE LTD LTD  Count</t>
  </si>
  <si>
    <t>ADVANCE  COMPOSITE TEXTILE  LTD   Count</t>
  </si>
  <si>
    <t>MAGPIE KNITWEAR   LTD   Count</t>
  </si>
  <si>
    <t>MAGPIE COMPOSITE MIKLLS    LTD   Count</t>
  </si>
  <si>
    <t>ADURY APPREALS LTD , (MODA28.03.2023) Count</t>
  </si>
  <si>
    <t>R R SWEATER  Count</t>
  </si>
  <si>
    <t>ENTRUST TEXTILE LTD Count</t>
  </si>
  <si>
    <t>adury fasHION &amp; PRINT LTD error 28.12.2023 Count</t>
  </si>
  <si>
    <t>ANTIM KNIT &amp; DYING FACTORY LTD Count</t>
  </si>
  <si>
    <t>ECO STAR APPARELS LTD. Count</t>
  </si>
  <si>
    <t>PARENTS APPEARLS Count</t>
  </si>
  <si>
    <t>ROAR FASHION Count</t>
  </si>
  <si>
    <t>Grand Count</t>
  </si>
  <si>
    <t xml:space="preserve">AXIS SWEATER LTD </t>
  </si>
  <si>
    <t xml:space="preserve">CONSOLIDATED APPL.LTD. </t>
  </si>
  <si>
    <t xml:space="preserve">AUGUST APPL.LTD. </t>
  </si>
  <si>
    <t xml:space="preserve">HAVANA GARMENTS LTD </t>
  </si>
  <si>
    <t xml:space="preserve">M.HOSSAIN GARMENTS  </t>
  </si>
  <si>
    <t xml:space="preserve">RAINBOO PRODUCTS LTD </t>
  </si>
  <si>
    <t xml:space="preserve">WIND MILL SWEATER LTD </t>
  </si>
  <si>
    <t xml:space="preserve">TINA KNITING LTD </t>
  </si>
  <si>
    <t xml:space="preserve">SHAH ALI KNITWEAR </t>
  </si>
  <si>
    <t xml:space="preserve">UNI ASIA TEXTILE LTD </t>
  </si>
  <si>
    <t xml:space="preserve">COMMISSIONER APPLS.LTD </t>
  </si>
  <si>
    <t xml:space="preserve">BENGAL FRIENDS &amp; CO.LTD </t>
  </si>
  <si>
    <t xml:space="preserve">CHAIN INDUSTIRES LTD </t>
  </si>
  <si>
    <t xml:space="preserve">EVEREST APPARELS LTD </t>
  </si>
  <si>
    <t xml:space="preserve">SAAM BUSINESS PVT.LTD </t>
  </si>
  <si>
    <t xml:space="preserve">SAHIDULLAH KHAN M.P. </t>
  </si>
  <si>
    <t xml:space="preserve">SIKDER FOOD &amp; IND.COLTD </t>
  </si>
  <si>
    <t xml:space="preserve">SHITALAKHMA ICE &amp; COLD </t>
  </si>
  <si>
    <t xml:space="preserve">TOUGH STITCH APPARELS </t>
  </si>
  <si>
    <t xml:space="preserve">VEGA SWEATER PVT LTD </t>
  </si>
  <si>
    <t xml:space="preserve">APPARELS &amp; APPL.LTD. </t>
  </si>
  <si>
    <t xml:space="preserve">BLUE STAR APPARELS  </t>
  </si>
  <si>
    <t xml:space="preserve">CENTURY KNITWEAR LTD </t>
  </si>
  <si>
    <t xml:space="preserve">INFINITY TECH.INT'L LTD </t>
  </si>
  <si>
    <t xml:space="preserve">MILLINIUM INTL LTD </t>
  </si>
  <si>
    <t xml:space="preserve">MAYN INT'L LTD. </t>
  </si>
  <si>
    <t xml:space="preserve">SHAMRAT FASHIONS LTD </t>
  </si>
  <si>
    <t xml:space="preserve">INTERWING KNIT.WEAR LTD. </t>
  </si>
  <si>
    <t xml:space="preserve">SNOW  WHITE COTTON LTD </t>
  </si>
  <si>
    <t xml:space="preserve">AB FASHION LTD </t>
  </si>
  <si>
    <t xml:space="preserve">NEW BROTHER KNITWEAR LTD </t>
  </si>
  <si>
    <t xml:space="preserve">F.R.GARMENTS LTD </t>
  </si>
  <si>
    <t xml:space="preserve">PROPHECY APPL (PVT) LTD </t>
  </si>
  <si>
    <t xml:space="preserve">BORAX APPARELS LTD </t>
  </si>
  <si>
    <t xml:space="preserve">ORK THREAD </t>
  </si>
  <si>
    <t xml:space="preserve">ZEAL TEXTILE </t>
  </si>
  <si>
    <t xml:space="preserve">SHAHABA YARN LTD(CASH LC) </t>
  </si>
  <si>
    <t xml:space="preserve">SHAHABA YARN LTD(BTB LC) </t>
  </si>
  <si>
    <t xml:space="preserve">HORIZONE  FASHION(BTB) </t>
  </si>
  <si>
    <t xml:space="preserve">DRESDEN TEXTILE LTD </t>
  </si>
  <si>
    <t xml:space="preserve">LEEU FASHION (S.N:07) </t>
  </si>
  <si>
    <t xml:space="preserve">LEEU FASHION  </t>
  </si>
  <si>
    <t xml:space="preserve">SONALI FAB &amp; TEXTTILE MILLS (BTB) </t>
  </si>
  <si>
    <t xml:space="preserve">LUMEN TEXTILE MILL  </t>
  </si>
  <si>
    <t xml:space="preserve">ADVANCED  COM. TEXTILE LTD </t>
  </si>
  <si>
    <t xml:space="preserve">WISTERIA TEXTILES LIMITED </t>
  </si>
  <si>
    <t xml:space="preserve">PARENTS SWEATER LTD </t>
  </si>
  <si>
    <t xml:space="preserve">SUBORNNO BAN LTD </t>
  </si>
  <si>
    <t xml:space="preserve">PACIFIC A1 SWEATER </t>
  </si>
  <si>
    <t xml:space="preserve">HASHMATULLAH KNIT WEAR LTD </t>
  </si>
  <si>
    <t xml:space="preserve">DRAGON Sweater (BCK) </t>
  </si>
  <si>
    <t xml:space="preserve">DRAGON Sweater  </t>
  </si>
  <si>
    <t xml:space="preserve">Horizon Fashion Ltd (bck) </t>
  </si>
  <si>
    <t xml:space="preserve">Horizon Fashion Ltd  </t>
  </si>
  <si>
    <t xml:space="preserve">R R Sweater Ltd, Dhaka ((BCK) </t>
  </si>
  <si>
    <t xml:space="preserve">R R Sweater Ltd, Dhaka  </t>
  </si>
  <si>
    <t xml:space="preserve">Shahba Yarn Mills Ltd( bcK) </t>
  </si>
  <si>
    <t xml:space="preserve">Shahba Yarn Mills Ltd </t>
  </si>
  <si>
    <t xml:space="preserve">LEEU FASHION  ( bcK ) </t>
  </si>
  <si>
    <t xml:space="preserve"> Dragon Sweater (BCK) </t>
  </si>
  <si>
    <t xml:space="preserve"> Dragon Sweater  </t>
  </si>
  <si>
    <t xml:space="preserve">Magpie Knitwear Ltd ( BCK ) </t>
  </si>
  <si>
    <t xml:space="preserve">Magpie Knitwear Ltd  </t>
  </si>
  <si>
    <t xml:space="preserve">LEUU FASHIONS LTD </t>
  </si>
  <si>
    <t xml:space="preserve">LEEU FASHION LTD  </t>
  </si>
  <si>
    <t xml:space="preserve">PacificFootwear Ind Ltd </t>
  </si>
  <si>
    <t xml:space="preserve">Advance Com  Tex  Ltd  </t>
  </si>
  <si>
    <t xml:space="preserve">She &amp; He Appreals Ltd </t>
  </si>
  <si>
    <t xml:space="preserve">Antim knitting Dyeing &amp; Fashion Ltd  </t>
  </si>
  <si>
    <t xml:space="preserve">Trust FABRICS AND KNITING (PVT) L  </t>
  </si>
  <si>
    <t xml:space="preserve">Advance Composite Textile Ltd </t>
  </si>
  <si>
    <t xml:space="preserve">Samitex Industries Ltd </t>
  </si>
  <si>
    <t xml:space="preserve">DRESDEN TEXTILES LTD </t>
  </si>
  <si>
    <t xml:space="preserve">Magpie Composite Textile Ltd  </t>
  </si>
  <si>
    <t xml:space="preserve">Mahid Appreals Ltd  </t>
  </si>
  <si>
    <t xml:space="preserve">ASSERTION DESIGNERS LTD </t>
  </si>
  <si>
    <t xml:space="preserve">Fay Max Sweater Composite Ltd </t>
  </si>
  <si>
    <t xml:space="preserve">Assertion Designers Ltd  </t>
  </si>
  <si>
    <t xml:space="preserve">Pacific Footwear Industry Ltd </t>
  </si>
  <si>
    <t xml:space="preserve">HORIZON FASHIONLTD </t>
  </si>
  <si>
    <t xml:space="preserve">TRUST FABRICS AND KNITING (PVT) L  </t>
  </si>
  <si>
    <t xml:space="preserve">Magpie knitwear ltd </t>
  </si>
  <si>
    <t xml:space="preserve">SHE &amp; He Appreals Ltd </t>
  </si>
  <si>
    <t xml:space="preserve">MAGPIE KNITWEAR LTD (BTB) </t>
  </si>
  <si>
    <t xml:space="preserve">HORIZON FASHION LTD </t>
  </si>
  <si>
    <t xml:space="preserve">ALEMA TEXTILE LTD  </t>
  </si>
  <si>
    <t xml:space="preserve">PACIFIC FOOTWEAR INDUSTRIES LTD </t>
  </si>
  <si>
    <t xml:space="preserve">ANTIM KNITWEAR  LTD </t>
  </si>
  <si>
    <t xml:space="preserve">SONALI FEBRICS &amp; TEXTILE MILLS  LTD  </t>
  </si>
  <si>
    <t xml:space="preserve">YARA KNITWEAR LTD  </t>
  </si>
  <si>
    <t xml:space="preserve">ADURY FASHION &amp; PRINT LTD  </t>
  </si>
  <si>
    <t xml:space="preserve">ADURY  APPREALS  LTD  </t>
  </si>
  <si>
    <t xml:space="preserve">TRUST FABRICS AND KNITINGPVT L </t>
  </si>
  <si>
    <t xml:space="preserve">TTT LEATHER FOOTWEAR IND PVT LTD </t>
  </si>
  <si>
    <t xml:space="preserve">FAY MAX SWEATER LTD  </t>
  </si>
  <si>
    <t xml:space="preserve">ANTIM KNITTING DYING &amp; FINISHING LTD LTD  </t>
  </si>
  <si>
    <t xml:space="preserve">ANTIM KNIT COMPOSITE LTD LTD  </t>
  </si>
  <si>
    <t xml:space="preserve">ADVANCE  COMPOSITE TEXTILE  LTD   </t>
  </si>
  <si>
    <t xml:space="preserve">MAGPIE KNITWEAR   LTD   </t>
  </si>
  <si>
    <t xml:space="preserve">MAGPIE COMPOSITE MIKLLS    LTD   </t>
  </si>
  <si>
    <t xml:space="preserve">ADURY APPREALS LTD , (MODA28.03.2023) </t>
  </si>
  <si>
    <t xml:space="preserve">R R SWEATER  </t>
  </si>
  <si>
    <t xml:space="preserve">ENTRUST TEXTILE LTD </t>
  </si>
  <si>
    <t xml:space="preserve">adury fasHION &amp; PRINT LTD error 28.12.2023 </t>
  </si>
  <si>
    <t xml:space="preserve">ANTIM KNIT &amp; DYING FACTORY LTD </t>
  </si>
  <si>
    <t xml:space="preserve">ECO STAR APPARELS LTD. </t>
  </si>
  <si>
    <t xml:space="preserve">PARENTS APPEARLS </t>
  </si>
  <si>
    <t xml:space="preserve">ROAR FASHION </t>
  </si>
  <si>
    <t xml:space="preserve">Shahaba Yarn Ltd </t>
  </si>
  <si>
    <t>Cash, R:05/167</t>
  </si>
  <si>
    <t>,41/20</t>
  </si>
  <si>
    <t>,20-12-2020</t>
  </si>
  <si>
    <t>Tests  Solar Ltd</t>
  </si>
  <si>
    <t>Cash, R:07/45</t>
  </si>
  <si>
    <t>,05/24</t>
  </si>
  <si>
    <t>,21/05/2024</t>
  </si>
  <si>
    <t>CASH SIGHT</t>
  </si>
  <si>
    <t>.16/10</t>
  </si>
  <si>
    <t>.3/11</t>
  </si>
  <si>
    <t>.06/11</t>
  </si>
  <si>
    <t>f: 115 , r: 02</t>
  </si>
  <si>
    <t>PACIFIC DENIMS LTD</t>
  </si>
  <si>
    <t>.06/12</t>
  </si>
  <si>
    <t>r: 03/06</t>
  </si>
  <si>
    <t>AMJAD RICE AGENCY</t>
  </si>
  <si>
    <t>.10/13</t>
  </si>
  <si>
    <t>cc</t>
  </si>
  <si>
    <t>.03/13</t>
  </si>
  <si>
    <t>CASENDRA YARN DYEING LTD</t>
  </si>
  <si>
    <t>.01/13 (R:03/71)</t>
  </si>
  <si>
    <t>r:03 : f: 71</t>
  </si>
  <si>
    <t>M.R. TRADING CO.</t>
  </si>
  <si>
    <t>.06/14</t>
  </si>
  <si>
    <t>The Aristocrat (cash lc)</t>
  </si>
  <si>
    <t>04/18</t>
  </si>
  <si>
    <t>r :004 f 171</t>
  </si>
  <si>
    <t>09/18</t>
  </si>
  <si>
    <t>r :004 f 167</t>
  </si>
  <si>
    <t>WELLPAC POLYMER</t>
  </si>
  <si>
    <t>15/18</t>
  </si>
  <si>
    <t>UC/REC</t>
  </si>
  <si>
    <t>r:04, f 186</t>
  </si>
  <si>
    <t>TRUST FABRICS AND KNITINGPVT L (BTB)</t>
  </si>
  <si>
    <t>25/19</t>
  </si>
  <si>
    <t>RE -26/19</t>
  </si>
  <si>
    <t>r : 05, f: 75</t>
  </si>
  <si>
    <t>SONALI  FAB &amp; TEXTTILE MILLS (BTB)</t>
  </si>
  <si>
    <t>10/19</t>
  </si>
  <si>
    <t>UC (R:05, f: 33 )</t>
  </si>
  <si>
    <t>r : 05, f: 33</t>
  </si>
  <si>
    <t>BASHUNDARA MULTI PAPER (BCK)</t>
  </si>
  <si>
    <t xml:space="preserve"> 7/19</t>
  </si>
  <si>
    <t xml:space="preserve"> R: 05/29</t>
  </si>
  <si>
    <t xml:space="preserve">BASHUNDARA MULTI PAPER </t>
  </si>
  <si>
    <t xml:space="preserve">10.39  Corewr </t>
  </si>
  <si>
    <t>BASHUNDARA  PAPER ( BCK)</t>
  </si>
  <si>
    <t>12/19</t>
  </si>
  <si>
    <t>R:05/37</t>
  </si>
  <si>
    <t xml:space="preserve">BASHUNDARA  PAPER </t>
  </si>
  <si>
    <t>845150995.65</t>
  </si>
  <si>
    <t xml:space="preserve">26.75 Corer </t>
  </si>
  <si>
    <t>SAMYTEX INDUSTRIES LTD</t>
  </si>
  <si>
    <t>15/19</t>
  </si>
  <si>
    <t xml:space="preserve"> f: 43, r 05</t>
  </si>
  <si>
    <t>ENERGIES POWER (CASH LC)</t>
  </si>
  <si>
    <t>16/19(R:05/57)</t>
  </si>
  <si>
    <t>r: 05, f: 52</t>
  </si>
  <si>
    <t>17/19</t>
  </si>
  <si>
    <t>25/08/19</t>
  </si>
  <si>
    <t xml:space="preserve"> f: 53, r 05</t>
  </si>
  <si>
    <t>BEXIMCO LTD</t>
  </si>
  <si>
    <t>.30/12</t>
  </si>
  <si>
    <t>31-6-16</t>
  </si>
  <si>
    <t>SMA/</t>
  </si>
  <si>
    <t>14/18( R:05/54)</t>
  </si>
  <si>
    <t>r: 04, f :185</t>
  </si>
  <si>
    <t>,38/20</t>
  </si>
  <si>
    <t>,30-06-2020</t>
  </si>
  <si>
    <t>,30-03-2027</t>
  </si>
  <si>
    <t>r:04 , f:138</t>
  </si>
  <si>
    <t>,39/20</t>
  </si>
  <si>
    <t>r:04 , f:61</t>
  </si>
  <si>
    <t>35/20</t>
  </si>
  <si>
    <t>06-01-2021 to 06-10-2025</t>
  </si>
  <si>
    <t>UC/RES r: 04, f: 123</t>
  </si>
  <si>
    <t>36/20</t>
  </si>
  <si>
    <t>UC/RES R:04 F : 136</t>
  </si>
  <si>
    <t>4.5 Corer</t>
  </si>
  <si>
    <t>R:04 F : 137</t>
  </si>
  <si>
    <t>33/20</t>
  </si>
  <si>
    <t xml:space="preserve">1.48 Corer </t>
  </si>
  <si>
    <t>UC/RES r:142, r 04</t>
  </si>
  <si>
    <t>MARHABA SYNTHETIC MILLS</t>
  </si>
  <si>
    <t>38/15</t>
  </si>
  <si>
    <t>UC/RES r: 04 , f :  40</t>
  </si>
  <si>
    <t>13/16</t>
  </si>
  <si>
    <t>15/16</t>
  </si>
  <si>
    <t>30/16</t>
  </si>
  <si>
    <t>r:04, f: 102</t>
  </si>
  <si>
    <t>HAT INT PVT LTD</t>
  </si>
  <si>
    <t>53/16</t>
  </si>
  <si>
    <t>M/S TANAKA TRADE COM INT LTD</t>
  </si>
  <si>
    <t>17/16</t>
  </si>
  <si>
    <t>SWISS QUALITY BAN</t>
  </si>
  <si>
    <t>47/16</t>
  </si>
  <si>
    <t>UC/RES r:04, f: 122</t>
  </si>
  <si>
    <t>04/17</t>
  </si>
  <si>
    <t>f: 134, r : 04</t>
  </si>
  <si>
    <t>13/17</t>
  </si>
  <si>
    <t>f: 144, r : 04</t>
  </si>
  <si>
    <t>CAsh lc</t>
  </si>
  <si>
    <t>00-01-1900</t>
  </si>
  <si>
    <t>UC/WRITE</t>
  </si>
  <si>
    <t>52/16</t>
  </si>
  <si>
    <t>11/17</t>
  </si>
  <si>
    <t>.10/12</t>
  </si>
  <si>
    <t>STD/RES</t>
  </si>
  <si>
    <t>SUNBEAM KNIT WEAR LTD</t>
  </si>
  <si>
    <t>.03/12</t>
  </si>
  <si>
    <t>.41/12</t>
  </si>
  <si>
    <t>.51/12</t>
  </si>
  <si>
    <t>.57/12</t>
  </si>
  <si>
    <t>.68/12</t>
  </si>
  <si>
    <t>.02/13</t>
  </si>
  <si>
    <t>.04/14</t>
  </si>
  <si>
    <t>20/15</t>
  </si>
  <si>
    <t>.05/20</t>
  </si>
  <si>
    <t xml:space="preserve"> Rec </t>
  </si>
  <si>
    <t>r:05/100</t>
  </si>
  <si>
    <t>.06/20</t>
  </si>
  <si>
    <t xml:space="preserve">Rec </t>
  </si>
  <si>
    <t>r:05/103</t>
  </si>
  <si>
    <t>SHADHIN DYEING(PVT) LTD</t>
  </si>
  <si>
    <t>39/12</t>
  </si>
  <si>
    <t>45/12</t>
  </si>
  <si>
    <t>58/12</t>
  </si>
  <si>
    <t>IFTEE FASHION LTD</t>
  </si>
  <si>
    <t>BTB+CASH</t>
  </si>
  <si>
    <t>.16/15</t>
  </si>
  <si>
    <t>r:03, 122,62,91</t>
  </si>
  <si>
    <t>Bashundhara Industrial Complex (bck )</t>
  </si>
  <si>
    <t>26/19</t>
  </si>
  <si>
    <t>R: 05/76</t>
  </si>
  <si>
    <t>Bashundhara Industrial Complex</t>
  </si>
  <si>
    <t xml:space="preserve">23.79 Corer </t>
  </si>
  <si>
    <t>r: 05, f:76</t>
  </si>
  <si>
    <t>Prime Composite Mills Ltd ( BCk)</t>
  </si>
  <si>
    <t>27/19</t>
  </si>
  <si>
    <t>r:05/78</t>
  </si>
  <si>
    <t xml:space="preserve">Prime Composite Mills Ltd </t>
  </si>
  <si>
    <t>bck acm</t>
  </si>
  <si>
    <t>Prime Melange Yarn Mills Ltd (BCK )</t>
  </si>
  <si>
    <t>cash lc ( r: 05/85)</t>
  </si>
  <si>
    <t>,30/19</t>
  </si>
  <si>
    <t>R:05/84</t>
  </si>
  <si>
    <t xml:space="preserve">Prime Melange Yarn Mills Ltd </t>
  </si>
  <si>
    <t xml:space="preserve">bck acm </t>
  </si>
  <si>
    <t>,01/20</t>
  </si>
  <si>
    <t>R:05/90</t>
  </si>
  <si>
    <t>,12/20</t>
  </si>
  <si>
    <t>,21-04-2020</t>
  </si>
  <si>
    <t>R05/114</t>
  </si>
  <si>
    <t xml:space="preserve">TTT Leath &amp; Footwear Ind Ltd </t>
  </si>
  <si>
    <t>15/20</t>
  </si>
  <si>
    <t>r:05/120</t>
  </si>
  <si>
    <t>,26/20</t>
  </si>
  <si>
    <t>,14-10-2020</t>
  </si>
  <si>
    <t>,.14-10-2020</t>
  </si>
  <si>
    <t>,28/20</t>
  </si>
  <si>
    <t>,20-10-2020</t>
  </si>
  <si>
    <t xml:space="preserve">,30/20 (Rm </t>
  </si>
  <si>
    <t xml:space="preserve">Magpie Composite  Ltd </t>
  </si>
  <si>
    <t>CC</t>
  </si>
  <si>
    <t>,19/20 (r:05/147,06/129)</t>
  </si>
  <si>
    <t xml:space="preserve">Bd Thai Food &amp; Bev Ltd </t>
  </si>
  <si>
    <t>,30/21</t>
  </si>
  <si>
    <t>,31/21</t>
  </si>
  <si>
    <t xml:space="preserve">Magpie  KNITWEAR   Ltd </t>
  </si>
  <si>
    <t>,15-02-2022</t>
  </si>
  <si>
    <t xml:space="preserve">ADVANCE COMPOSITE LTD </t>
  </si>
  <si>
    <t>,11/22</t>
  </si>
  <si>
    <t>,24-05-2022</t>
  </si>
  <si>
    <t>,24-11-2024</t>
  </si>
  <si>
    <t>,12/21</t>
  </si>
  <si>
    <t>,26-04-2021</t>
  </si>
  <si>
    <t>22/21( 06/12,13)</t>
  </si>
  <si>
    <t xml:space="preserve">16/21 (r:06/127) </t>
  </si>
  <si>
    <t>.14/19</t>
  </si>
  <si>
    <t>.21/19</t>
  </si>
  <si>
    <t>.13/20</t>
  </si>
  <si>
    <t>.31/20</t>
  </si>
  <si>
    <t>AINUN TRADE HOUSE  LTD</t>
  </si>
  <si>
    <t>.22/22</t>
  </si>
  <si>
    <t>,13-05-2022</t>
  </si>
  <si>
    <t>,13-04-2023</t>
  </si>
  <si>
    <t>Rec: 00</t>
  </si>
  <si>
    <t>MUTUAL CONCERN COR LTD</t>
  </si>
  <si>
    <t>.23/22</t>
  </si>
  <si>
    <t>,23-03-2022</t>
  </si>
  <si>
    <t>,23-03-2023</t>
  </si>
  <si>
    <t>DRESSDEN TEXTILE  LTD</t>
  </si>
  <si>
    <t>.24/22</t>
  </si>
  <si>
    <t>.25/22</t>
  </si>
  <si>
    <t xml:space="preserve">7.25 Corer </t>
  </si>
  <si>
    <t>ANTIM KNITWEAR LTD</t>
  </si>
  <si>
    <t>,15-10-2023</t>
  </si>
  <si>
    <t>alema  (2 parts )</t>
  </si>
  <si>
    <t xml:space="preserve">,19/22,26/22( R: 06/125) </t>
  </si>
  <si>
    <t>,8/20,14/22 (r:06/167)</t>
  </si>
  <si>
    <t>,15-02-2023</t>
  </si>
  <si>
    <t>,15-08-2025</t>
  </si>
  <si>
    <t xml:space="preserve">SHE &amp; He appreals  </t>
  </si>
  <si>
    <t>,8/22,28/22 (R:06/76,121)</t>
  </si>
  <si>
    <t>dragon sweater ltd</t>
  </si>
  <si>
    <t xml:space="preserve">,22/19,07/20( R:06/131) </t>
  </si>
  <si>
    <t>PRIME MEEANGE MILLS  (13.09.2023)</t>
  </si>
  <si>
    <t>DEF</t>
  </si>
  <si>
    <t>26/20A</t>
  </si>
  <si>
    <t>Prime Composite  Mills  Ltd(13.09.2023)</t>
  </si>
  <si>
    <t>def</t>
  </si>
  <si>
    <t xml:space="preserve">28/20a </t>
  </si>
  <si>
    <t xml:space="preserve">PRIME COMPOSITE MILLS LTD          </t>
  </si>
  <si>
    <t>,18/23</t>
  </si>
  <si>
    <t>,20-07-2023</t>
  </si>
  <si>
    <t>MODA:13.10.2022</t>
  </si>
  <si>
    <t xml:space="preserve">PRIME MELEANGE  MILLS LTD          </t>
  </si>
  <si>
    <t>,19/23</t>
  </si>
  <si>
    <t xml:space="preserve">THERMAX MELLANGE SPINNIG  LTD          </t>
  </si>
  <si>
    <t>,02/23</t>
  </si>
  <si>
    <t>,27-04-2023</t>
  </si>
  <si>
    <t>,03/23</t>
  </si>
  <si>
    <t xml:space="preserve">THERMAX  BLENDED YARN     LTD          </t>
  </si>
  <si>
    <t>,04/23</t>
  </si>
  <si>
    <t xml:space="preserve">SISTER DENIM COMPOSITE   LTD          </t>
  </si>
  <si>
    <t>,05/23</t>
  </si>
  <si>
    <t xml:space="preserve">ADURY FASHION &amp; Print  LTD          </t>
  </si>
  <si>
    <t>,06/23</t>
  </si>
  <si>
    <t>,30-04-2023</t>
  </si>
  <si>
    <t>,20/23</t>
  </si>
  <si>
    <t>MODA:28.03.2023</t>
  </si>
  <si>
    <t xml:space="preserve">ADURY FASHION  &amp;  PRINT LTD         </t>
  </si>
  <si>
    <t>,21/23</t>
  </si>
  <si>
    <t>MODA:16.03.2023</t>
  </si>
  <si>
    <t xml:space="preserve">THERMAX COLOUR COTTON LTD          </t>
  </si>
  <si>
    <t>,22/23</t>
  </si>
  <si>
    <t>MODA:11.05.2023</t>
  </si>
  <si>
    <t>THERMAX SPINNING LTD , MODA:11.05.2023</t>
  </si>
  <si>
    <t>,38/23</t>
  </si>
  <si>
    <t>,12-09-2023</t>
  </si>
  <si>
    <t>,07/23</t>
  </si>
  <si>
    <t>,08/23</t>
  </si>
  <si>
    <t>,10/23</t>
  </si>
  <si>
    <t>,23/23</t>
  </si>
  <si>
    <t>,24/23</t>
  </si>
  <si>
    <t>,25/23</t>
  </si>
  <si>
    <t>,37/23</t>
  </si>
  <si>
    <t>,30/20( Cm )</t>
  </si>
  <si>
    <t>,27-10-2020</t>
  </si>
  <si>
    <t>,40/20</t>
  </si>
  <si>
    <t>,41/21</t>
  </si>
  <si>
    <t>,11-11-2021</t>
  </si>
  <si>
    <t>,04/22</t>
  </si>
  <si>
    <t>,23-01-2022</t>
  </si>
  <si>
    <t>,05/22</t>
  </si>
  <si>
    <t xml:space="preserve">AG  PACKING LTD </t>
  </si>
  <si>
    <t>,30/23</t>
  </si>
  <si>
    <t xml:space="preserve">Entrust Textile </t>
  </si>
  <si>
    <t>,42/23</t>
  </si>
  <si>
    <t>SURAIYA SPINNING MILLS LTD</t>
  </si>
  <si>
    <t>,03/24</t>
  </si>
  <si>
    <t>18/23</t>
  </si>
  <si>
    <t>19/23</t>
  </si>
  <si>
    <t xml:space="preserve"> ,R:02/63</t>
  </si>
  <si>
    <t xml:space="preserve"> ,R:02/110</t>
  </si>
  <si>
    <t>,R:02/115</t>
  </si>
  <si>
    <t>(RE No) :01,</t>
  </si>
  <si>
    <t>( R:05/33)</t>
  </si>
  <si>
    <t>CASH LC</t>
  </si>
  <si>
    <t xml:space="preserve"> (Re s)prin</t>
  </si>
  <si>
    <t xml:space="preserve"> ( Res) int </t>
  </si>
  <si>
    <t xml:space="preserve"> ( Res)</t>
  </si>
  <si>
    <t xml:space="preserve"> (R:04/137)</t>
  </si>
  <si>
    <t>32/20</t>
  </si>
  <si>
    <t xml:space="preserve"> (r04/142)</t>
  </si>
  <si>
    <t>( R:04/40)</t>
  </si>
  <si>
    <t>( R:04/130, dl 54/16</t>
  </si>
  <si>
    <t>, R:04/129</t>
  </si>
  <si>
    <t>( R:04/74)</t>
  </si>
  <si>
    <t xml:space="preserve"> R:04/122</t>
  </si>
  <si>
    <t xml:space="preserve"> ( R:04/134)</t>
  </si>
  <si>
    <t xml:space="preserve"> ( R:04/144)</t>
  </si>
  <si>
    <t xml:space="preserve"> ( r:4:17,19)</t>
  </si>
  <si>
    <t xml:space="preserve"> ( r: 05/85)</t>
  </si>
  <si>
    <t xml:space="preserve"> ( R: 05/90)</t>
  </si>
  <si>
    <t>Cash Lc</t>
  </si>
  <si>
    <t xml:space="preserve"> R:04/114</t>
  </si>
  <si>
    <t xml:space="preserve"> ( R:)06/113</t>
  </si>
  <si>
    <t xml:space="preserve"> ( R:006/115</t>
  </si>
  <si>
    <t>( R:006/103</t>
  </si>
  <si>
    <t>EDF</t>
  </si>
  <si>
    <t>PACIFIC DENIMS LTD Count</t>
  </si>
  <si>
    <t>AMJAD RICE AGENCY Count</t>
  </si>
  <si>
    <t>CASENDRA YARN DYEING LTD Count</t>
  </si>
  <si>
    <t>M.R. TRADING CO. Count</t>
  </si>
  <si>
    <t>The Aristocrat (cash lc) Count</t>
  </si>
  <si>
    <t>WELLPAC POLYMER Count</t>
  </si>
  <si>
    <t>TRUST FABRICS AND KNITINGPVT L (BTB) Count</t>
  </si>
  <si>
    <t>SONALI  FAB &amp; TEXTTILE MILLS (BTB) Count</t>
  </si>
  <si>
    <t>BASHUNDARA MULTI PAPER (BCK) Count</t>
  </si>
  <si>
    <t>BASHUNDARA MULTI PAPER  Count</t>
  </si>
  <si>
    <t>BASHUNDARA  PAPER ( BCK) Count</t>
  </si>
  <si>
    <t>BASHUNDARA  PAPER  Count</t>
  </si>
  <si>
    <t>SAMYTEX INDUSTRIES LTD Count</t>
  </si>
  <si>
    <t>ENERGIES POWER (CASH LC) Count</t>
  </si>
  <si>
    <t>BEXIMCO LTD Count</t>
  </si>
  <si>
    <t>MUTUAL CONCERN CORPORATION  Count</t>
  </si>
  <si>
    <t>AINUN TRADE HOUSE LTD Count</t>
  </si>
  <si>
    <t>ZAKIA COTTONTEX LTD Count</t>
  </si>
  <si>
    <t>MARHABA SYNTHETIC MILLS Count</t>
  </si>
  <si>
    <t>HAT INT PVT LTD Count</t>
  </si>
  <si>
    <t>M/S TANAKA TRADE COM INT LTD Count</t>
  </si>
  <si>
    <t>SWISS QUALITY BAN Count</t>
  </si>
  <si>
    <t>SUNBEAM KNIT WEAR LTD Count</t>
  </si>
  <si>
    <t>SHADHIN DYEING(PVT) LTD Count</t>
  </si>
  <si>
    <t>IFTEE FASHION LTD Count</t>
  </si>
  <si>
    <t>Bashundhara Industrial Complex (bck ) Count</t>
  </si>
  <si>
    <t>Bashundhara Industrial Complex Count</t>
  </si>
  <si>
    <t>Prime Composite Mills Ltd ( BCk) Count</t>
  </si>
  <si>
    <t>Prime Composite Mills Ltd  Count</t>
  </si>
  <si>
    <t>Prime Melange Yarn Mills Ltd (BCK ) Count</t>
  </si>
  <si>
    <t>Prime Melange Yarn Mills Ltd  Count</t>
  </si>
  <si>
    <t>Global Pac Ind Pvt Ltd  Count</t>
  </si>
  <si>
    <t>TTT Leath &amp; Footwear Ind Ltd  Count</t>
  </si>
  <si>
    <t>Prime Melenge Yarn ltd  Count</t>
  </si>
  <si>
    <t>Prime Composite Mills Ltd Count</t>
  </si>
  <si>
    <t>Magpie Composite  Ltd  Count</t>
  </si>
  <si>
    <t>Bd Thai Food &amp; Bev Ltd  Count</t>
  </si>
  <si>
    <t>Magpie  KNITWEAR   Ltd  Count</t>
  </si>
  <si>
    <t>ADVANCE COMPOSITE LTD  Count</t>
  </si>
  <si>
    <t>NAFIZ PAPER  Count</t>
  </si>
  <si>
    <t>AINUN TRADE HOUSE  LTD Count</t>
  </si>
  <si>
    <t>MUTUAL CONCERN COR LTD Count</t>
  </si>
  <si>
    <t>DRESSDEN TEXTILE  LTD Count</t>
  </si>
  <si>
    <t>ANTIM KNITWEAR LTD Count</t>
  </si>
  <si>
    <t>alema  (2 parts ) Count</t>
  </si>
  <si>
    <t>SHE &amp; He appreals   Count</t>
  </si>
  <si>
    <t>dragon sweater ltd Count</t>
  </si>
  <si>
    <t>PRIME MEEANGE MILLS  (13.09.2023) Count</t>
  </si>
  <si>
    <t>Prime Composite  Mills  Ltd(13.09.2023) Count</t>
  </si>
  <si>
    <t>PRIME COMPOSITE MILLS LTD           Count</t>
  </si>
  <si>
    <t>PRIME MELEANGE  MILLS LTD           Count</t>
  </si>
  <si>
    <t>THERMAX MELLANGE SPINNIG  LTD           Count</t>
  </si>
  <si>
    <t>THERMAX YARN  DYED FABRICS LTD  Count</t>
  </si>
  <si>
    <t>THERMAX  BLENDED YARN     LTD           Count</t>
  </si>
  <si>
    <t>SISTER DENIM COMPOSITE   LTD           Count</t>
  </si>
  <si>
    <t>ADURY FASHION &amp; Print  LTD           Count</t>
  </si>
  <si>
    <t>ADURY FASHION  &amp;  PRINT LTD          Count</t>
  </si>
  <si>
    <t>THERMAX COLOUR COTTON LTD           Count</t>
  </si>
  <si>
    <t>THERMAX SPINNING LTD , MODA:11.05.2023 Count</t>
  </si>
  <si>
    <t>SISTER Denim Composite  Ltd (U2 )  Count</t>
  </si>
  <si>
    <t>THERMAX BLENDED YARN LTD  Count</t>
  </si>
  <si>
    <t>THERMAX SPINNING LTD  Count</t>
  </si>
  <si>
    <t>THE GLOBAL PACKING IND PVT LTD Count</t>
  </si>
  <si>
    <t>AG  PACKING LTD  Count</t>
  </si>
  <si>
    <t>Entrust Textile  Count</t>
  </si>
  <si>
    <t>SURAIYA SPINNING MILLS LTD Count</t>
  </si>
  <si>
    <t xml:space="preserve">PACIFIC DENIMS LTD </t>
  </si>
  <si>
    <t xml:space="preserve">AMJAD RICE AGENCY </t>
  </si>
  <si>
    <t xml:space="preserve">CASENDRA YARN DYEING LTD </t>
  </si>
  <si>
    <t xml:space="preserve">M.R. TRADING CO. </t>
  </si>
  <si>
    <t xml:space="preserve">The Aristocrat (cash lc) </t>
  </si>
  <si>
    <t xml:space="preserve">WELLPAC POLYMER </t>
  </si>
  <si>
    <t xml:space="preserve">TRUST FABRICS AND KNITINGPVT L (BTB) </t>
  </si>
  <si>
    <t xml:space="preserve">SONALI  FAB &amp; TEXTTILE MILLS (BTB) </t>
  </si>
  <si>
    <t xml:space="preserve">BASHUNDARA MULTI PAPER (BCK) </t>
  </si>
  <si>
    <t xml:space="preserve">BASHUNDARA MULTI PAPER  </t>
  </si>
  <si>
    <t xml:space="preserve">BASHUNDARA  PAPER ( BCK) </t>
  </si>
  <si>
    <t xml:space="preserve">BASHUNDARA  PAPER  </t>
  </si>
  <si>
    <t xml:space="preserve">SAMYTEX INDUSTRIES LTD </t>
  </si>
  <si>
    <t xml:space="preserve">ENERGIES POWER (CASH LC) </t>
  </si>
  <si>
    <t xml:space="preserve">BEXIMCO LTD </t>
  </si>
  <si>
    <t xml:space="preserve">MUTUAL CONCERN CORPORATION  </t>
  </si>
  <si>
    <t xml:space="preserve">AINUN TRADE HOUSE LTD </t>
  </si>
  <si>
    <t xml:space="preserve">ZAKIA COTTONTEX LTD </t>
  </si>
  <si>
    <t xml:space="preserve">MARHABA SYNTHETIC MILLS </t>
  </si>
  <si>
    <t xml:space="preserve">HAT INT PVT LTD </t>
  </si>
  <si>
    <t xml:space="preserve">M/S TANAKA TRADE COM INT LTD </t>
  </si>
  <si>
    <t xml:space="preserve">SWISS QUALITY BAN </t>
  </si>
  <si>
    <t xml:space="preserve">SUNBEAM KNIT WEAR LTD </t>
  </si>
  <si>
    <t xml:space="preserve">SHADHIN DYEING(PVT) LTD </t>
  </si>
  <si>
    <t xml:space="preserve">IFTEE FASHION LTD </t>
  </si>
  <si>
    <t xml:space="preserve">Bashundhara Industrial Complex (bck ) </t>
  </si>
  <si>
    <t xml:space="preserve">Bashundhara Industrial Complex </t>
  </si>
  <si>
    <t xml:space="preserve">Prime Composite Mills Ltd ( BCk) </t>
  </si>
  <si>
    <t xml:space="preserve">Prime Composite Mills Ltd  </t>
  </si>
  <si>
    <t xml:space="preserve">Prime Melange Yarn Mills Ltd (BCK ) </t>
  </si>
  <si>
    <t xml:space="preserve">Prime Melange Yarn Mills Ltd  </t>
  </si>
  <si>
    <t xml:space="preserve">Global Pac Ind Pvt Ltd  </t>
  </si>
  <si>
    <t xml:space="preserve">TTT Leath &amp; Footwear Ind Ltd  </t>
  </si>
  <si>
    <t xml:space="preserve">Prime Melenge Yarn ltd  </t>
  </si>
  <si>
    <t xml:space="preserve">Magpie Composite  Ltd  </t>
  </si>
  <si>
    <t xml:space="preserve">Bd Thai Food &amp; Bev Ltd  </t>
  </si>
  <si>
    <t xml:space="preserve">Magpie  KNITWEAR   Ltd  </t>
  </si>
  <si>
    <t xml:space="preserve">ADVANCE COMPOSITE LTD  </t>
  </si>
  <si>
    <t xml:space="preserve">NAFIZ PAPER  </t>
  </si>
  <si>
    <t xml:space="preserve">AINUN TRADE HOUSE  LTD </t>
  </si>
  <si>
    <t xml:space="preserve">MUTUAL CONCERN COR LTD </t>
  </si>
  <si>
    <t xml:space="preserve">DRESSDEN TEXTILE  LTD </t>
  </si>
  <si>
    <t xml:space="preserve">ANTIM KNITWEAR LTD </t>
  </si>
  <si>
    <t xml:space="preserve">alema  (2 parts ) </t>
  </si>
  <si>
    <t xml:space="preserve">SHE &amp; He appreals   </t>
  </si>
  <si>
    <t xml:space="preserve">dragon sweater ltd </t>
  </si>
  <si>
    <t xml:space="preserve">PRIME MEEANGE MILLS  (13.09.2023) </t>
  </si>
  <si>
    <t xml:space="preserve">Prime Composite  Mills  Ltd(13.09.2023) </t>
  </si>
  <si>
    <t xml:space="preserve">PRIME COMPOSITE MILLS LTD           </t>
  </si>
  <si>
    <t xml:space="preserve">PRIME MELEANGE  MILLS LTD           </t>
  </si>
  <si>
    <t xml:space="preserve">THERMAX MELLANGE SPINNIG  LTD           </t>
  </si>
  <si>
    <t xml:space="preserve">THERMAX YARN  DYED FABRICS LTD  </t>
  </si>
  <si>
    <t xml:space="preserve">THERMAX  BLENDED YARN     LTD           </t>
  </si>
  <si>
    <t xml:space="preserve">SISTER DENIM COMPOSITE   LTD           </t>
  </si>
  <si>
    <t xml:space="preserve">ADURY FASHION &amp; Print  LTD           </t>
  </si>
  <si>
    <t xml:space="preserve">ADURY FASHION  &amp;  PRINT LTD          </t>
  </si>
  <si>
    <t xml:space="preserve">THERMAX COLOUR COTTON LTD           </t>
  </si>
  <si>
    <t xml:space="preserve">THERMAX SPINNING LTD , MODA:11.05.2023 </t>
  </si>
  <si>
    <t xml:space="preserve">SISTER Denim Composite  Ltd (U2 )  </t>
  </si>
  <si>
    <t xml:space="preserve">THERMAX BLENDED YARN LTD  </t>
  </si>
  <si>
    <t xml:space="preserve">THERMAX SPINNING LTD  </t>
  </si>
  <si>
    <t xml:space="preserve">THE GLOBAL PACKING IND PVT LTD </t>
  </si>
  <si>
    <t xml:space="preserve">AG  PACKING LTD  </t>
  </si>
  <si>
    <t xml:space="preserve">Entrust Textile  </t>
  </si>
  <si>
    <t xml:space="preserve">SURAIYA SPINNING MILLS LTD </t>
  </si>
  <si>
    <t>company_name</t>
  </si>
  <si>
    <t>GPH ISPAT LTD</t>
  </si>
  <si>
    <t>ML THREAD  LTD</t>
  </si>
  <si>
    <t>SISTER DENIM?COMPOSITE UNIT-2</t>
  </si>
  <si>
    <t>Entrust Textile BD Ltd</t>
  </si>
  <si>
    <t>BASHUNDARA MULTI PAPER</t>
  </si>
  <si>
    <t>AG  PACKING LTD</t>
  </si>
  <si>
    <t>Entrust Textile</t>
  </si>
  <si>
    <t>Global Pac Ind Pvt Ltd</t>
  </si>
  <si>
    <t>THERMAX SPINNING LTD</t>
  </si>
  <si>
    <t>THERMAX YARN  DYED FABRICS LTD</t>
  </si>
  <si>
    <t>ADURY FASHION &amp; PRINT LTD</t>
  </si>
  <si>
    <t>THERMAX BLENDED YARN LTD</t>
  </si>
  <si>
    <t>SISTER Denim Composite  Ltd (U2 )</t>
  </si>
  <si>
    <t>ADURY  APPREALS  LTD</t>
  </si>
  <si>
    <t>THERMAX COLOUR COTTON LTD</t>
  </si>
  <si>
    <t>ADURY FASHION  &amp;  PRINT LTD</t>
  </si>
  <si>
    <t>THERMAX  BLENDED YARN     LTD</t>
  </si>
  <si>
    <t>MUTUAL CONCERN CORPORATION</t>
  </si>
  <si>
    <t>ADURY FASHION &amp; Print  LTD</t>
  </si>
  <si>
    <t>SISTER DENIM COMPOSITE   LTD</t>
  </si>
  <si>
    <t>THERMAX MELLANGE SPINNIG  LTD</t>
  </si>
  <si>
    <t>PRIME MELEANGE  MILLS LTD</t>
  </si>
  <si>
    <t>PRIME COMPOSITE MILLS LTD</t>
  </si>
  <si>
    <t>SHE &amp; He appreals</t>
  </si>
  <si>
    <t>Magpie  KNITWEAR   Ltd</t>
  </si>
  <si>
    <t>Magpie Composite  Ltd</t>
  </si>
  <si>
    <t>NAFIZ PAPER</t>
  </si>
  <si>
    <t>BASHUNDARA PAPER ( BCK)</t>
  </si>
  <si>
    <t>BASHUNDARA PAPER</t>
  </si>
  <si>
    <t>Prime Melange Yarn Mills Ltd</t>
  </si>
  <si>
    <t>TTT Leath &amp; Footwear Ind Ltd</t>
  </si>
  <si>
    <t>Prime Melenge Yarn ltd</t>
  </si>
  <si>
    <t>Bd Thai Food &amp; Bev Ltd</t>
  </si>
  <si>
    <t>ADVANCE COMPOSITE LTD</t>
  </si>
  <si>
    <t>THERMAX  BLENDED YARN LTD</t>
  </si>
  <si>
    <t>Advance Com Tex Ltd</t>
  </si>
  <si>
    <t>ANTIM KNITING &amp; DYING</t>
  </si>
  <si>
    <t>Aristocrate Non Woven Ltd</t>
  </si>
  <si>
    <t>Aristocrate Agro Ltd</t>
  </si>
  <si>
    <t>Asiatic Textile Mills Ltd</t>
  </si>
  <si>
    <t>BASHUDHARA MULTI FOOD</t>
  </si>
  <si>
    <t>BASHUDHARA MULTI STEEL</t>
  </si>
  <si>
    <t>BOSUNDORA FOOD AND BEVERAGE</t>
  </si>
  <si>
    <t>Dressden Textiles Ltd</t>
  </si>
  <si>
    <t>F N FAN INDUSTRIES LTD</t>
  </si>
  <si>
    <t>H H Textile Mills Ltd</t>
  </si>
  <si>
    <t>LEEU FASHION LTD</t>
  </si>
  <si>
    <t>ML THREAD LTD</t>
  </si>
  <si>
    <t>MAKS NAHAR LTD</t>
  </si>
  <si>
    <t>MuTUAL CONCERN CORPORATION</t>
  </si>
  <si>
    <t>Pacific Shoes &amp; Bags Ind Ltd</t>
  </si>
  <si>
    <t>Parents Sweater Ltd</t>
  </si>
  <si>
    <t>R R Spinning &amp; Cotton Mills</t>
  </si>
  <si>
    <t>R R SPINNING MILL</t>
  </si>
  <si>
    <t>Rupshi Feed</t>
  </si>
  <si>
    <t>SHAHABA YARN LTD</t>
  </si>
  <si>
    <t>Sister Denim Composite Mills Ltd</t>
  </si>
  <si>
    <t>Sonali Sweater Ltd</t>
  </si>
  <si>
    <t>THERMAX YARN DYED FABRICS LTD</t>
  </si>
  <si>
    <t>THERMEX COLOUR COTTON LTD</t>
  </si>
  <si>
    <t>Magpie Composite Ltd</t>
  </si>
  <si>
    <t>Magpie KNITWEAR Ltd</t>
  </si>
  <si>
    <t>DRESSDEN TEXTILE LTD</t>
  </si>
  <si>
    <t>alema (2 parts )</t>
  </si>
  <si>
    <t>PRIME MELEANGE MILLS LTD</t>
  </si>
  <si>
    <t>THERMAX MELLANGE SPINNIG LTD</t>
  </si>
  <si>
    <t>SISTER DENIM COMPOSITE LTD</t>
  </si>
  <si>
    <t>ADURY FASHION &amp; Print LTD</t>
  </si>
  <si>
    <t>ADURY APPREALS LTD</t>
  </si>
  <si>
    <t>SISTER Denim Composite Ltd (U2 )</t>
  </si>
  <si>
    <t>AG PACKING LTD</t>
  </si>
  <si>
    <t>SONALI FAB &amp; TEXTTILE MILLS</t>
  </si>
  <si>
    <t>ENERGIES POWER</t>
  </si>
  <si>
    <t>PRIME MEEANGE MILLS</t>
  </si>
  <si>
    <t>The Aristocrat</t>
  </si>
  <si>
    <t>TRUST FABRICS AND KNITINGPVT LTD</t>
  </si>
  <si>
    <t>SISTER DENIM &amp; COMPOSITE UNIT-2</t>
  </si>
  <si>
    <t>C_name</t>
  </si>
  <si>
    <t>ADURY FASHION &amp; PRINT LTD Count</t>
  </si>
  <si>
    <t>Advance Com Tex Ltd Count</t>
  </si>
  <si>
    <t>ANTIM KNITING &amp; DYING Count</t>
  </si>
  <si>
    <t>Aristocrate Non Woven Ltd Count</t>
  </si>
  <si>
    <t>Aristocrate Agro Ltd Count</t>
  </si>
  <si>
    <t>Asiatic Textile Mills Ltd Count</t>
  </si>
  <si>
    <t>BASHUDHARA MULTI FOOD Count</t>
  </si>
  <si>
    <t>BASHUDHARA MULTI STEEL Count</t>
  </si>
  <si>
    <t>BD SUGAR AND FOOD CASH LC Count</t>
  </si>
  <si>
    <t>BOSUNDORA FOOD AND BEVERAGE Count</t>
  </si>
  <si>
    <t>DHAKA MATCH FACTORY LTD Count</t>
  </si>
  <si>
    <t>Dressden Textiles Ltd Count</t>
  </si>
  <si>
    <t>DUTCH BANGLA POWER Count</t>
  </si>
  <si>
    <t>F N FAN INDUSTRIES LTD Count</t>
  </si>
  <si>
    <t>Global Pac Ind Pvt Ltd Count</t>
  </si>
  <si>
    <t>GPH ISPAT LTD Count</t>
  </si>
  <si>
    <t>H H Textile Mills Ltd Count</t>
  </si>
  <si>
    <t>JALANI SHILPA LTD. Count</t>
  </si>
  <si>
    <t>KAWACHI DETERGENT &amp; CHEMI Count</t>
  </si>
  <si>
    <t>KAYACHI DETERGENT &amp; CH.IND. Count</t>
  </si>
  <si>
    <t>LEEU FASHION LTD Count</t>
  </si>
  <si>
    <t>ML THREAD LTD Count</t>
  </si>
  <si>
    <t>MAGPIE COMPOSITE LTD Count</t>
  </si>
  <si>
    <t>MAKS NAHAR LTD Count</t>
  </si>
  <si>
    <t>MuTUAL CONCERN CORPORATION Count</t>
  </si>
  <si>
    <t>NAFIZ PAPER Count</t>
  </si>
  <si>
    <t>Pacific Shoes &amp; Bags Ind Ltd Count</t>
  </si>
  <si>
    <t>Parents Sweater Ltd Count</t>
  </si>
  <si>
    <t>Prime Melenge Yarn ltd Count</t>
  </si>
  <si>
    <t>R R Spinning &amp; Cotton Mills Count</t>
  </si>
  <si>
    <t>R R SPINNING MILL Count</t>
  </si>
  <si>
    <t>RM SYSTEM Count</t>
  </si>
  <si>
    <t>ROCO ENTERPRISE Count</t>
  </si>
  <si>
    <t>Rupshi Feed Count</t>
  </si>
  <si>
    <t>SHAHABA YARN LTD Count</t>
  </si>
  <si>
    <t>Sister Denim Composite Mills Ltd Count</t>
  </si>
  <si>
    <t>SISTER DENIM &amp; COMPOSITE UNIT-2 Count</t>
  </si>
  <si>
    <t>Sonali Sweater Ltd Count</t>
  </si>
  <si>
    <t>SURUJ MIAH TEXTILE Count</t>
  </si>
  <si>
    <t>SWISS QUALITY LTD Count</t>
  </si>
  <si>
    <t>TANZINA FASHION LTD Count</t>
  </si>
  <si>
    <t>THERMAX BLENDED YARN LTD Count</t>
  </si>
  <si>
    <t>THERMAX SPINNING LTD Count</t>
  </si>
  <si>
    <t>THERMAX YARN DYED FABRICS LTD Count</t>
  </si>
  <si>
    <t>THERMEX COLOUR COTTON LTD Count</t>
  </si>
  <si>
    <t>VISTA FIBERS LTD Count</t>
  </si>
  <si>
    <t>MAGPIE KNITWEAR LTD Count</t>
  </si>
  <si>
    <t>Entrust Textile BD Ltd Count</t>
  </si>
  <si>
    <t>The Aristocrat Count</t>
  </si>
  <si>
    <t>TRUST FABRICS AND KNITINGPVT LTD Count</t>
  </si>
  <si>
    <t>SONALI FAB &amp; TEXTTILE MILLS Count</t>
  </si>
  <si>
    <t>BASHUNDARA MULTI PAPER Count</t>
  </si>
  <si>
    <t>BASHUNDARA PAPER Count</t>
  </si>
  <si>
    <t>ENERGIES POWER Count</t>
  </si>
  <si>
    <t>MUTUAL CONCERN CORPORATION Count</t>
  </si>
  <si>
    <t>Prime Melange Yarn Mills Ltd Count</t>
  </si>
  <si>
    <t>TTT Leath &amp; Footwear Ind Ltd Count</t>
  </si>
  <si>
    <t>Magpie Composite Ltd Count</t>
  </si>
  <si>
    <t>Bd Thai Food &amp; Bev Ltd Count</t>
  </si>
  <si>
    <t>Magpie KNITWEAR Ltd Count</t>
  </si>
  <si>
    <t>ADVANCE COMPOSITE LTD Count</t>
  </si>
  <si>
    <t>DRESSDEN TEXTILE LTD Count</t>
  </si>
  <si>
    <t>alema (2 parts ) Count</t>
  </si>
  <si>
    <t>SHE &amp; He appreals Count</t>
  </si>
  <si>
    <t>PRIME MEEANGE MILLS Count</t>
  </si>
  <si>
    <t>PRIME MELEANGE MILLS LTD Count</t>
  </si>
  <si>
    <t>THERMAX MELLANGE SPINNIG LTD Count</t>
  </si>
  <si>
    <t>SISTER DENIM COMPOSITE LTD Count</t>
  </si>
  <si>
    <t>ADURY FASHION &amp; Print LTD Count</t>
  </si>
  <si>
    <t>THERMAX COLOUR COTTON LTD Count</t>
  </si>
  <si>
    <t>ADURY APPREALS LTD Count</t>
  </si>
  <si>
    <t>SISTER Denim Composite Ltd (U2 ) Count</t>
  </si>
  <si>
    <t>AG PACKING LTD Count</t>
  </si>
  <si>
    <t>Entrust Textile Count</t>
  </si>
  <si>
    <t xml:space="preserve">Advance Com Tex Ltd </t>
  </si>
  <si>
    <t xml:space="preserve">ANTIM KNITING &amp; DYING </t>
  </si>
  <si>
    <t xml:space="preserve">Aristocrate Non Woven Ltd </t>
  </si>
  <si>
    <t xml:space="preserve">Aristocrate Agro Ltd </t>
  </si>
  <si>
    <t xml:space="preserve">BASHUDHARA MULTI FOOD </t>
  </si>
  <si>
    <t xml:space="preserve">BASHUDHARA MULTI STEEL </t>
  </si>
  <si>
    <t xml:space="preserve">BOSUNDORA FOOD AND BEVERAGE </t>
  </si>
  <si>
    <t xml:space="preserve">DHAKA MATCH FACTORY LTD </t>
  </si>
  <si>
    <t xml:space="preserve">DUTCH BANGLA POWER </t>
  </si>
  <si>
    <t xml:space="preserve">F N FAN INDUSTRIES LTD </t>
  </si>
  <si>
    <t xml:space="preserve">GPH ISPAT LTD </t>
  </si>
  <si>
    <t xml:space="preserve">JALANI SHILPA LTD. </t>
  </si>
  <si>
    <t xml:space="preserve">KAWACHI DETERGENT &amp; CHEMI </t>
  </si>
  <si>
    <t xml:space="preserve">KAYACHI DETERGENT &amp; CH.IND. </t>
  </si>
  <si>
    <t xml:space="preserve">ML THREAD LTD </t>
  </si>
  <si>
    <t xml:space="preserve">MAGPIE COMPOSITE LTD </t>
  </si>
  <si>
    <t xml:space="preserve">Pacific Shoes &amp; Bags Ind Ltd </t>
  </si>
  <si>
    <t xml:space="preserve">Parents Sweater Ltd </t>
  </si>
  <si>
    <t xml:space="preserve">R R SPINNING MILL </t>
  </si>
  <si>
    <t xml:space="preserve">RM SYSTEM </t>
  </si>
  <si>
    <t xml:space="preserve">ROCO ENTERPRISE </t>
  </si>
  <si>
    <t xml:space="preserve">Sister Denim Composite Mills Ltd </t>
  </si>
  <si>
    <t xml:space="preserve">SISTER DENIM &amp; COMPOSITE UNIT-2 </t>
  </si>
  <si>
    <t xml:space="preserve">Sonali Sweater Ltd </t>
  </si>
  <si>
    <t xml:space="preserve">SURUJ MIAH TEXTILE </t>
  </si>
  <si>
    <t xml:space="preserve">SWISS QUALITY LTD </t>
  </si>
  <si>
    <t xml:space="preserve">TANZINA FASHION LTD </t>
  </si>
  <si>
    <t xml:space="preserve">VISTA FIBERS LTD </t>
  </si>
  <si>
    <t xml:space="preserve">MAGPIE KNITWEAR LTD </t>
  </si>
  <si>
    <t xml:space="preserve">Entrust Textile BD Ltd </t>
  </si>
  <si>
    <t xml:space="preserve">The Aristocrat </t>
  </si>
  <si>
    <t xml:space="preserve">TRUST FABRICS AND KNITINGPVT LTD </t>
  </si>
  <si>
    <t xml:space="preserve">SONALI FAB &amp; TEXTTILE MILLS </t>
  </si>
  <si>
    <t xml:space="preserve">BASHUNDARA PAPER </t>
  </si>
  <si>
    <t xml:space="preserve">ENERGIES POWER </t>
  </si>
  <si>
    <t xml:space="preserve">Magpie Composite Ltd </t>
  </si>
  <si>
    <t xml:space="preserve">Magpie KNITWEAR Ltd </t>
  </si>
  <si>
    <t xml:space="preserve">DRESSDEN TEXTILE LTD </t>
  </si>
  <si>
    <t xml:space="preserve">alema (2 parts ) </t>
  </si>
  <si>
    <t xml:space="preserve">SHE &amp; He appreals </t>
  </si>
  <si>
    <t xml:space="preserve">PRIME MEEANGE MILLS </t>
  </si>
  <si>
    <t xml:space="preserve">PRIME MELEANGE MILLS LTD </t>
  </si>
  <si>
    <t xml:space="preserve">THERMAX MELLANGE SPINNIG LTD </t>
  </si>
  <si>
    <t xml:space="preserve">SISTER DENIM COMPOSITE LTD </t>
  </si>
  <si>
    <t xml:space="preserve">ADURY FASHION &amp; Print LTD </t>
  </si>
  <si>
    <t xml:space="preserve">THERMAX COLOUR COTTON LTD </t>
  </si>
  <si>
    <t xml:space="preserve">ADURY APPREALS LTD </t>
  </si>
  <si>
    <t xml:space="preserve">SISTER Denim Composite Ltd (U2 ) </t>
  </si>
  <si>
    <t xml:space="preserve">AG PACKING LTD </t>
  </si>
  <si>
    <t>BD SUGAR AND FOOD</t>
  </si>
  <si>
    <t>ADVANCE COM TEX LTD</t>
  </si>
  <si>
    <t>ARISTOCRATE NON WOVEN LTD</t>
  </si>
  <si>
    <t>ARISTOCRATE AGRO LTD</t>
  </si>
  <si>
    <t>ASIATIC TEXTILE MILLS LTD</t>
  </si>
  <si>
    <t>DRESSDEN TEXTILES LTD</t>
  </si>
  <si>
    <t>GLOBAL PAC IND PVT LTD</t>
  </si>
  <si>
    <t>H H TEXTILE MILLS LTD</t>
  </si>
  <si>
    <t>PACIFIC SHOES &amp; BAGS IND LTD</t>
  </si>
  <si>
    <t>PRIME MELENGE YARN LTD</t>
  </si>
  <si>
    <t>R R SPINNING &amp; COTTON MILLS</t>
  </si>
  <si>
    <t>RUPSHI FEED</t>
  </si>
  <si>
    <t>SAMITEX INDUSTRIES LTD</t>
  </si>
  <si>
    <t>SISTER DENIM COMPOSITE MILLS LTD</t>
  </si>
  <si>
    <t>SONALI SWEATER LTD</t>
  </si>
  <si>
    <t>ENTRUST TEXTILE BD LTD</t>
  </si>
  <si>
    <t>THE ARISTOCRAT</t>
  </si>
  <si>
    <t>BASHUNDHARA INDUSTRIAL COMPLEX</t>
  </si>
  <si>
    <t>PRIME MELANGE YARN MILLS LTD</t>
  </si>
  <si>
    <t>TTT LEATH &amp; FOOTWEAR IND LTD</t>
  </si>
  <si>
    <t>BD THAI FOOD &amp; BEV LTD</t>
  </si>
  <si>
    <t>ALEMA (2 PARTS )</t>
  </si>
  <si>
    <t>SHE &amp; HE APPREALS</t>
  </si>
  <si>
    <t>DRAGON SWEATER LTD</t>
  </si>
  <si>
    <t>SISTER DENIM COMPOSITE LTD (U2 )</t>
  </si>
  <si>
    <t>ENTRUST TEXTILE</t>
  </si>
  <si>
    <t>THERMAX  BLENDED YARN  LTD,(DLTL:04,20,23/23)</t>
  </si>
  <si>
    <t>THERMAX  YARN DYED FABRICS  LTD (DLTL :03,08,10.25/23)</t>
  </si>
  <si>
    <t>SISTER DENIM COMPOSITE   LTD, (TLDL: 05/23)</t>
  </si>
  <si>
    <t>SISTER Denim Composite  Ltd (UNIT2 ) (TLDL:07/23</t>
  </si>
  <si>
    <t>THERMAX SPINNING LTD (TLDL:37/23,38/23)</t>
  </si>
  <si>
    <t xml:space="preserve">THERMAX MELLANGE SPINNIG  LTD(TLDL:02/23)          </t>
  </si>
  <si>
    <t xml:space="preserve">THERMAX COLOUR COTTON LTD (TLDL:22/23)         </t>
  </si>
  <si>
    <t xml:space="preserve">ADURY FASHION &amp; Print  LTD(TLDL:06/23,11/23,21/23,24/23)          </t>
  </si>
  <si>
    <t>ADURY  APPREALS  LTD (TLDL:12/23,39/23</t>
  </si>
  <si>
    <t>gvwn` G¨vcv‡ijm wjt</t>
  </si>
  <si>
    <t>gvwn` G·‡cv B›Uvt †U· wjt</t>
  </si>
  <si>
    <t>Gg.Gg. bxwUs GÛ GgeªqWvix wjt</t>
  </si>
  <si>
    <t>‡R. Gg. K¬vwmK d¨vkvb wjt</t>
  </si>
  <si>
    <t>Gqvi UvP wjwg‡UW</t>
  </si>
  <si>
    <t>MUTUAL CONCERN CORPORATION LTD</t>
  </si>
  <si>
    <t>GBPGwU B›Uvib¨vkbvj wjt</t>
  </si>
  <si>
    <t>Jaj Bhuiyan Group</t>
  </si>
  <si>
    <t>Tanaka Group</t>
  </si>
  <si>
    <t>SWISS QUALITY PAPER (BD) LTD</t>
  </si>
  <si>
    <t>Sonali Group</t>
  </si>
  <si>
    <t>SONALI FAB &amp; TEXTTILE MILLS (SWEATER UNIT)</t>
  </si>
  <si>
    <t>wZ¯Ív †mvjvi</t>
  </si>
  <si>
    <t>BEXIMCO</t>
  </si>
  <si>
    <t>SALMA Group</t>
  </si>
  <si>
    <t>c¨vwmwdK dzU Iq¨vi BÛt wjt</t>
  </si>
  <si>
    <t>Pacific Group</t>
  </si>
  <si>
    <t>BASHUDHARA Group</t>
  </si>
  <si>
    <t xml:space="preserve">THERMAX  YARN DYED FABRICS   LTD          </t>
  </si>
  <si>
    <t>A.G PACKAGING</t>
  </si>
  <si>
    <t>RR Cotton</t>
  </si>
  <si>
    <t>HAVEN HOUSE BD LTD</t>
  </si>
  <si>
    <t>Prime Group</t>
  </si>
  <si>
    <t>THERMAX Group</t>
  </si>
  <si>
    <t>TANAKA TRADE COM INT LTD</t>
  </si>
  <si>
    <t>MAGPIE</t>
  </si>
  <si>
    <t>BEXIMCO Communication LTD</t>
  </si>
  <si>
    <t>Beximco Pharma</t>
  </si>
  <si>
    <t>ZAKIA Group</t>
  </si>
  <si>
    <t>Group</t>
  </si>
  <si>
    <t>BASHUDHARA GROUP</t>
  </si>
  <si>
    <t>JAJ BHUIYAN GROUP</t>
  </si>
  <si>
    <t>PACIFIC GROUP</t>
  </si>
  <si>
    <t>PRIME GROUP</t>
  </si>
  <si>
    <t>SALMA GROUP</t>
  </si>
  <si>
    <t>SONALI GROUP</t>
  </si>
  <si>
    <t>TANAKA GROUP</t>
  </si>
  <si>
    <t>THERMAX GROUP</t>
  </si>
  <si>
    <t>ZAKIA GROUP</t>
  </si>
  <si>
    <t>Bashundhara Group Headquarters, Bashundhara Residential Area, Dhaka, Bangladesh</t>
  </si>
  <si>
    <t>BEXIMCO Corporate Office, House #17, Road #2, Dhanmondi, Dhaka, Bangladesh</t>
  </si>
  <si>
    <t>64 Motijheel C/A, Dhaka-1000, Bangladesh</t>
  </si>
  <si>
    <t>+880 2 955 1561</t>
  </si>
  <si>
    <t>+880-2-8619 151</t>
  </si>
  <si>
    <t>+8802-8432008-17, +8802-8432196</t>
  </si>
  <si>
    <t>Not Available</t>
  </si>
  <si>
    <t>A.G PACKAGING INDUSTRIES LTD</t>
  </si>
  <si>
    <t>ADVANCED COMPOSITE TEXTILES LTD</t>
  </si>
  <si>
    <t>ALEMA TEXTILE LTD</t>
  </si>
  <si>
    <t>BASHUNDHARA MULTI PAPER</t>
  </si>
  <si>
    <t>THERMAX  BLENDED YARN  LTD</t>
  </si>
  <si>
    <t>THERMAX  YARN DYED FABRICS  LTD</t>
  </si>
  <si>
    <t>SISTER Denim Composite  Ltd (UNIT2 )</t>
  </si>
  <si>
    <t>Single</t>
  </si>
  <si>
    <t>M.M. Knit &amp; Embroidery Ltd.</t>
  </si>
  <si>
    <t>Nahid Apparels Ltd.</t>
  </si>
  <si>
    <t>J.M. Classic Fashion Ltd.</t>
  </si>
  <si>
    <t>Nahid Expo Int. Tex Ltd</t>
  </si>
  <si>
    <t>HT International Ltd</t>
  </si>
  <si>
    <t>TISTA SOLAR</t>
  </si>
  <si>
    <t>PACIFIC FOOT WARE INDUSTRY LTD</t>
  </si>
  <si>
    <t>ALEMA TEXTILE LTD(2 PARTS )</t>
  </si>
  <si>
    <t>AIR TOUCH LTD</t>
  </si>
  <si>
    <t>ENERGIES POWER CORP. LTD</t>
  </si>
  <si>
    <t>H.A.T INT. PVT LTD</t>
  </si>
  <si>
    <t>PACIFIC A-1 SWEATER</t>
  </si>
  <si>
    <t>NAFIZ PAPER BOARD MILLS LTD</t>
  </si>
  <si>
    <t xml:space="preserve">MARHABA Synthetic MILLS LTD </t>
  </si>
  <si>
    <t>Magpie knitwear  Ltd</t>
  </si>
  <si>
    <t>PRIME MELEANGE  YARN MILLS LTD</t>
  </si>
  <si>
    <t>SHE &amp; HE APPREALS LTD</t>
  </si>
  <si>
    <t>SUBORNO BANGLADESH LTD</t>
  </si>
  <si>
    <t>THE ARISTOCRAT AGRO</t>
  </si>
  <si>
    <t>TRUST FABRICS AND KNITING PVT LTD</t>
  </si>
  <si>
    <t>WISTERIA TEXTILE MILLS LTD</t>
  </si>
  <si>
    <t>COMMISSIONER APPLS</t>
  </si>
  <si>
    <t>Customer Name</t>
  </si>
  <si>
    <t>Sanc. Date</t>
  </si>
  <si>
    <t>Pr Amt.</t>
  </si>
  <si>
    <t>Balance</t>
  </si>
  <si>
    <t>Expiry Date</t>
  </si>
  <si>
    <t>Status</t>
  </si>
  <si>
    <t>AB Fashion Ltd</t>
  </si>
  <si>
    <t>DL:26/12</t>
  </si>
  <si>
    <t>13/02/12</t>
  </si>
  <si>
    <t>14/02/12</t>
  </si>
  <si>
    <t xml:space="preserve">DL54/12 </t>
  </si>
  <si>
    <t>25/06/12</t>
  </si>
  <si>
    <t>ADVANCED  COMPOSITE TEXTILE  LTD</t>
  </si>
  <si>
    <t>DL:34/23</t>
  </si>
  <si>
    <t>17/08/23</t>
  </si>
  <si>
    <t>ANTIM KNIT COMPOSITE LTD</t>
  </si>
  <si>
    <t>DL:31/23</t>
  </si>
  <si>
    <t>31/07/23</t>
  </si>
  <si>
    <t>ANTIM KNITTING DYEING AND FINISHING LTD</t>
  </si>
  <si>
    <t>DL:26/23</t>
  </si>
  <si>
    <t>04/04/24</t>
  </si>
  <si>
    <t>30/07/23</t>
  </si>
  <si>
    <t>DL:29/23</t>
  </si>
  <si>
    <t>31/05/23</t>
  </si>
  <si>
    <t>APPARELS &amp; APPL.LTD</t>
  </si>
  <si>
    <t>DL:24/06</t>
  </si>
  <si>
    <t>27/12/06</t>
  </si>
  <si>
    <t>DL:15/02</t>
  </si>
  <si>
    <t>31/03/08</t>
  </si>
  <si>
    <t>Aristocrate  Non Woven Ltd</t>
  </si>
  <si>
    <t>DL:43/20</t>
  </si>
  <si>
    <t>28/12/20</t>
  </si>
  <si>
    <t>DL:42/20</t>
  </si>
  <si>
    <t>26/09/21</t>
  </si>
  <si>
    <t>DL:29/21</t>
  </si>
  <si>
    <t>12/09/21</t>
  </si>
  <si>
    <t>AUGUST APPL.LTD</t>
  </si>
  <si>
    <t>DL:137/96</t>
  </si>
  <si>
    <t>14/08/96</t>
  </si>
  <si>
    <t>DL:03/04</t>
  </si>
  <si>
    <t>28/04/04</t>
  </si>
  <si>
    <t>BASHUNDHARA MULTI STEEL INDUSTRIES LTD</t>
  </si>
  <si>
    <t>05/11/24</t>
  </si>
  <si>
    <t>DL:22/24</t>
  </si>
  <si>
    <t>30/12/24</t>
  </si>
  <si>
    <t>DL:07/24</t>
  </si>
  <si>
    <t>09/10/24</t>
  </si>
  <si>
    <t>SMA</t>
  </si>
  <si>
    <t>DL:22/18</t>
  </si>
  <si>
    <t>17/09/18</t>
  </si>
  <si>
    <t>01/01/23</t>
  </si>
  <si>
    <t>DL:17/18</t>
  </si>
  <si>
    <t>30/06/18</t>
  </si>
  <si>
    <t>DL;23/18</t>
  </si>
  <si>
    <t>30/09/18</t>
  </si>
  <si>
    <t>DL:34/05</t>
  </si>
  <si>
    <t>15/06/05</t>
  </si>
  <si>
    <t>BLUE STAR APPARELS</t>
  </si>
  <si>
    <t>DL:06/02</t>
  </si>
  <si>
    <t>31/12/02</t>
  </si>
  <si>
    <t>DL:08/13</t>
  </si>
  <si>
    <t>28/04/13</t>
  </si>
  <si>
    <t>29/04/13</t>
  </si>
  <si>
    <t>DL:02/14</t>
  </si>
  <si>
    <t>23/03/14</t>
  </si>
  <si>
    <t>24/03/14</t>
  </si>
  <si>
    <t>BUSHUNDHARA MULTI FOOD PRODUCTS LTD</t>
  </si>
  <si>
    <t>DL:08/24</t>
  </si>
  <si>
    <t>09/04/23</t>
  </si>
  <si>
    <t>DL:47/05</t>
  </si>
  <si>
    <t>12/06/05</t>
  </si>
  <si>
    <t>06/12/05</t>
  </si>
  <si>
    <t>DL:07/05</t>
  </si>
  <si>
    <t>03/01/05</t>
  </si>
  <si>
    <t>DL:20/04</t>
  </si>
  <si>
    <t>DL:22/05</t>
  </si>
  <si>
    <t>20/03/05</t>
  </si>
  <si>
    <t>DL:49/05</t>
  </si>
  <si>
    <t>28/12/05</t>
  </si>
  <si>
    <t>DL:48/05</t>
  </si>
  <si>
    <t>12/07/05</t>
  </si>
  <si>
    <t>07/12/05</t>
  </si>
  <si>
    <t>DL:25/93</t>
  </si>
  <si>
    <t>21/07/93</t>
  </si>
  <si>
    <t>DL:24/93</t>
  </si>
  <si>
    <t>17/06/93</t>
  </si>
  <si>
    <t>DL:17/04</t>
  </si>
  <si>
    <t>DL:16/24</t>
  </si>
  <si>
    <t>18/11/24</t>
  </si>
  <si>
    <t>19/11/24</t>
  </si>
  <si>
    <t>DRESDEN TEXTILES  LTD</t>
  </si>
  <si>
    <t>DL:14/24</t>
  </si>
  <si>
    <t>10/06/24</t>
  </si>
  <si>
    <t>DL:15/24</t>
  </si>
  <si>
    <t>DL:12/24</t>
  </si>
  <si>
    <t>14/08/23</t>
  </si>
  <si>
    <t>ECO STAR APPAREL LTD</t>
  </si>
  <si>
    <t>DL:09/24</t>
  </si>
  <si>
    <t>18/11/23</t>
  </si>
  <si>
    <t>DL :155/96</t>
  </si>
  <si>
    <t>14/05/12</t>
  </si>
  <si>
    <t xml:space="preserve">DL:37/94 </t>
  </si>
  <si>
    <t>DL:52/95</t>
  </si>
  <si>
    <t>30/01/95</t>
  </si>
  <si>
    <t>FAY-MAX SWEATER COMPOSITE LTD</t>
  </si>
  <si>
    <t>DL:28/23</t>
  </si>
  <si>
    <t>17/05/22</t>
  </si>
  <si>
    <t>17/05/23</t>
  </si>
  <si>
    <t>FNF INDUSTRIES LTD</t>
  </si>
  <si>
    <t>DL:11/16</t>
  </si>
  <si>
    <t>10/03/16</t>
  </si>
  <si>
    <t>GPH ISHPAT LTD</t>
  </si>
  <si>
    <t>DL 19/24</t>
  </si>
  <si>
    <t>15/12/24</t>
  </si>
  <si>
    <t>DL:150/96</t>
  </si>
  <si>
    <t>Horizon Fashion Ltd</t>
  </si>
  <si>
    <t>DL:23/19</t>
  </si>
  <si>
    <t>27/11/19</t>
  </si>
  <si>
    <t>DL:17/20</t>
  </si>
  <si>
    <t>06/09/20</t>
  </si>
  <si>
    <t>DL:16/22</t>
  </si>
  <si>
    <t>25/04/22</t>
  </si>
  <si>
    <t>DL:02/22</t>
  </si>
  <si>
    <t>13/01/22</t>
  </si>
  <si>
    <t>41/18</t>
  </si>
  <si>
    <t>10/12/18</t>
  </si>
  <si>
    <t>INTERWING  KNIT Wear LTD</t>
  </si>
  <si>
    <t>DL:36/12</t>
  </si>
  <si>
    <t>03/05/12</t>
  </si>
  <si>
    <t>DL:15/07</t>
  </si>
  <si>
    <t>10/04/10</t>
  </si>
  <si>
    <t>DL:64/12</t>
  </si>
  <si>
    <t>16/10/12</t>
  </si>
  <si>
    <t>JALANI SHILPA LTD</t>
  </si>
  <si>
    <t>DL:162/97</t>
  </si>
  <si>
    <t>01/01/97</t>
  </si>
  <si>
    <t>LEEU FASHION  LTD</t>
  </si>
  <si>
    <t>DL:05/19</t>
  </si>
  <si>
    <t>21/03/19</t>
  </si>
  <si>
    <t>LEEU FASHION</t>
  </si>
  <si>
    <t>DL:03/19</t>
  </si>
  <si>
    <t>01/01/19</t>
  </si>
  <si>
    <t>DL:31/18</t>
  </si>
  <si>
    <t>20/12/18</t>
  </si>
  <si>
    <t>DL:11/19</t>
  </si>
  <si>
    <t>01/04/19</t>
  </si>
  <si>
    <t>DL:04/20</t>
  </si>
  <si>
    <t>22/01/20</t>
  </si>
  <si>
    <t>DL:10/20</t>
  </si>
  <si>
    <t>03/03/20</t>
  </si>
  <si>
    <t>DL:27/20</t>
  </si>
  <si>
    <t>15/10/20</t>
  </si>
  <si>
    <t>DL18/20</t>
  </si>
  <si>
    <t>LEEU FASHIONS LTD</t>
  </si>
  <si>
    <t>DL:14/20</t>
  </si>
  <si>
    <t>16/06/20</t>
  </si>
  <si>
    <t>M.HOSSAIN GARMENTS</t>
  </si>
  <si>
    <t>DL:185/97</t>
  </si>
  <si>
    <t>05/10/97</t>
  </si>
  <si>
    <t>DL:32/23</t>
  </si>
  <si>
    <t>16/08/23</t>
  </si>
  <si>
    <t>MAGPIE COMPOSITE MILLS LTD</t>
  </si>
  <si>
    <t>DL:36/23</t>
  </si>
  <si>
    <t>21/08/23</t>
  </si>
  <si>
    <t>Magpie composite Textle Ltd</t>
  </si>
  <si>
    <t>DL:17/24</t>
  </si>
  <si>
    <t>08/12/24</t>
  </si>
  <si>
    <t>MAGPIE KNITWEAR   LTD</t>
  </si>
  <si>
    <t>DL:35/23</t>
  </si>
  <si>
    <t>DL:33/23</t>
  </si>
  <si>
    <t>20/08/23</t>
  </si>
  <si>
    <t>23/08/23</t>
  </si>
  <si>
    <t>Mahid Appreals Ltd</t>
  </si>
  <si>
    <t>DL:09/23</t>
  </si>
  <si>
    <t>07/05/23</t>
  </si>
  <si>
    <t>DL:27/21</t>
  </si>
  <si>
    <t>08/09/21</t>
  </si>
  <si>
    <t>DL:40/21</t>
  </si>
  <si>
    <t>03/11/21</t>
  </si>
  <si>
    <t>MAKS NAHAR INT</t>
  </si>
  <si>
    <t>DL:20/24</t>
  </si>
  <si>
    <t>17/12/24</t>
  </si>
  <si>
    <t>DL:40/23</t>
  </si>
  <si>
    <t>19/09/23</t>
  </si>
  <si>
    <t>MAYN INT'L LTD</t>
  </si>
  <si>
    <t>DL:11/92</t>
  </si>
  <si>
    <t>DL:04/98</t>
  </si>
  <si>
    <t>21/01/98</t>
  </si>
  <si>
    <t>31/03/98</t>
  </si>
  <si>
    <t>DL:204/97</t>
  </si>
  <si>
    <t>09/02/97</t>
  </si>
  <si>
    <t>02/09/97</t>
  </si>
  <si>
    <t>MILLINEAM INT'L LTD</t>
  </si>
  <si>
    <t>DL:31/04</t>
  </si>
  <si>
    <t xml:space="preserve">EDF </t>
  </si>
  <si>
    <t>DL:01/24</t>
  </si>
  <si>
    <t>05/01/23</t>
  </si>
  <si>
    <t>DL:02/24</t>
  </si>
  <si>
    <t>DL:10/24</t>
  </si>
  <si>
    <t>11/06/24</t>
  </si>
  <si>
    <t>DL:14/23</t>
  </si>
  <si>
    <t>DL:13/22</t>
  </si>
  <si>
    <t>08/03/22</t>
  </si>
  <si>
    <t>DL:04/06</t>
  </si>
  <si>
    <t>30/03/06</t>
  </si>
  <si>
    <t>DL:08/15</t>
  </si>
  <si>
    <t>12/04/15</t>
  </si>
  <si>
    <t>13/04/15</t>
  </si>
  <si>
    <t>DL:11/14</t>
  </si>
  <si>
    <t>18/12/14</t>
  </si>
  <si>
    <t>19/12/14</t>
  </si>
  <si>
    <t>21/08/22</t>
  </si>
  <si>
    <t>DL:15/22</t>
  </si>
  <si>
    <t>30/09/21</t>
  </si>
  <si>
    <t>Pacific Shoes  &amp; Bags Ind Ltd</t>
  </si>
  <si>
    <t>DL:17/22</t>
  </si>
  <si>
    <t>06/06/22</t>
  </si>
  <si>
    <t>DL:17/21</t>
  </si>
  <si>
    <t>08/06/21</t>
  </si>
  <si>
    <t>PACIFIC SHOES AND BAGS IND LTD</t>
  </si>
  <si>
    <t>DL:39/21</t>
  </si>
  <si>
    <t>31/10/21</t>
  </si>
  <si>
    <t>Pacific Shoes Ltd</t>
  </si>
  <si>
    <t>DL:44/20</t>
  </si>
  <si>
    <t>30/12/20</t>
  </si>
  <si>
    <t>Parents Apparels</t>
  </si>
  <si>
    <t>DL:18/24</t>
  </si>
  <si>
    <t>10/12/24</t>
  </si>
  <si>
    <t>11/12/24</t>
  </si>
  <si>
    <t>Prophecy Apparels (pvt) Ltd</t>
  </si>
  <si>
    <t>DL:14/11</t>
  </si>
  <si>
    <t>17/10/11</t>
  </si>
  <si>
    <t>30/04/13</t>
  </si>
  <si>
    <t>DL:25/12</t>
  </si>
  <si>
    <t>01/02/12</t>
  </si>
  <si>
    <t>DL:02/12</t>
  </si>
  <si>
    <t>03/01/12</t>
  </si>
  <si>
    <t>R R SPINNING &amp; COTTON MILLS LTD</t>
  </si>
  <si>
    <t>DL:27/23</t>
  </si>
  <si>
    <t>07/09/22</t>
  </si>
  <si>
    <t>RR SPINNING &amp; COTTON MILLS  LTD</t>
  </si>
  <si>
    <t>DL:06/24</t>
  </si>
  <si>
    <t>19/08/24</t>
  </si>
  <si>
    <t>R R SWEATER LTD</t>
  </si>
  <si>
    <t>DL:41/23</t>
  </si>
  <si>
    <t>23/10/23</t>
  </si>
  <si>
    <t>30/03/24</t>
  </si>
  <si>
    <t>21/01/20</t>
  </si>
  <si>
    <t>18/12/24</t>
  </si>
  <si>
    <t>19/12/24</t>
  </si>
  <si>
    <t>DL:22/11</t>
  </si>
  <si>
    <t>11/12/11</t>
  </si>
  <si>
    <t>RUPSHI FEED LTD</t>
  </si>
  <si>
    <t>DL:13/19</t>
  </si>
  <si>
    <t>16/05/19</t>
  </si>
  <si>
    <t>DL:19/19</t>
  </si>
  <si>
    <t>17/10/19</t>
  </si>
  <si>
    <t>DL:05/98</t>
  </si>
  <si>
    <t>03/03/99</t>
  </si>
  <si>
    <t>DL:09/02</t>
  </si>
  <si>
    <t>07/06/02</t>
  </si>
  <si>
    <t>06/07/02</t>
  </si>
  <si>
    <t>DL:142/96</t>
  </si>
  <si>
    <t>22/08/96</t>
  </si>
  <si>
    <t>DL:156/96</t>
  </si>
  <si>
    <t>DL:19/98</t>
  </si>
  <si>
    <t>08/04/98</t>
  </si>
  <si>
    <t>04/08/98</t>
  </si>
  <si>
    <t>DL:26/98</t>
  </si>
  <si>
    <t>DL:94/95</t>
  </si>
  <si>
    <t>DL:48/95</t>
  </si>
  <si>
    <t>18/01/95</t>
  </si>
  <si>
    <t>Samytex Industries Ltd</t>
  </si>
  <si>
    <t>DL:11/21</t>
  </si>
  <si>
    <t>21/03/21</t>
  </si>
  <si>
    <t>DL:15/21</t>
  </si>
  <si>
    <t>31/05/21</t>
  </si>
  <si>
    <t>DL:20/08</t>
  </si>
  <si>
    <t>08/12/08</t>
  </si>
  <si>
    <t>DL:21/08</t>
  </si>
  <si>
    <t>DL:22/08</t>
  </si>
  <si>
    <t>DL:23/08</t>
  </si>
  <si>
    <t>SHAH ALI KNIT WEAR</t>
  </si>
  <si>
    <t>DL:04/07</t>
  </si>
  <si>
    <t>29/03/07</t>
  </si>
  <si>
    <t>Shahaba Yarn Ltd</t>
  </si>
  <si>
    <t>DL:41/20</t>
  </si>
  <si>
    <t>20/12/20</t>
  </si>
  <si>
    <t>DL:18/19</t>
  </si>
  <si>
    <t>15/09/19</t>
  </si>
  <si>
    <t>24/05/18</t>
  </si>
  <si>
    <t>DL:01/19</t>
  </si>
  <si>
    <t>01/07/19</t>
  </si>
  <si>
    <t>01/12/19</t>
  </si>
  <si>
    <t>DL:08/19</t>
  </si>
  <si>
    <t>07/04/19</t>
  </si>
  <si>
    <t>DL:24/19</t>
  </si>
  <si>
    <t>02/12/19</t>
  </si>
  <si>
    <t>SHAHABA Yarn Mills Ltd</t>
  </si>
  <si>
    <t>DL16/20</t>
  </si>
  <si>
    <t>03/09/20</t>
  </si>
  <si>
    <t>DL:03/20</t>
  </si>
  <si>
    <t>10/12/04</t>
  </si>
  <si>
    <t>DL:11/05</t>
  </si>
  <si>
    <t>02/03/05</t>
  </si>
  <si>
    <t>DL:19/04</t>
  </si>
  <si>
    <t>SISTER DENIM-U-2</t>
  </si>
  <si>
    <t>09/11/23</t>
  </si>
  <si>
    <t>Snow White Cotton Ltd</t>
  </si>
  <si>
    <t>DL:67/12</t>
  </si>
  <si>
    <t>18/11/12</t>
  </si>
  <si>
    <t>SONALI FEBRICS &amp; TEXTILE MILLS  LTD</t>
  </si>
  <si>
    <t>DL:17/23</t>
  </si>
  <si>
    <t>15/06/23</t>
  </si>
  <si>
    <t>DL:27/22</t>
  </si>
  <si>
    <t>13/10/22</t>
  </si>
  <si>
    <t>31/03/23</t>
  </si>
  <si>
    <t>SONALI FEBRICS AND TEXTILE MILLS LTD. (SWEATER UNIT)</t>
  </si>
  <si>
    <t>SUBORNO BANGLADESH</t>
  </si>
  <si>
    <t>DL:14/17</t>
  </si>
  <si>
    <t>11/07/17</t>
  </si>
  <si>
    <t>11/10/17</t>
  </si>
  <si>
    <t>DL:03/14</t>
  </si>
  <si>
    <t>22/04/14</t>
  </si>
  <si>
    <t>DL:09/22</t>
  </si>
  <si>
    <t>27/02/22</t>
  </si>
  <si>
    <t>DL:01/22</t>
  </si>
  <si>
    <t>11/01/22</t>
  </si>
  <si>
    <t>TEESTA  SOLAR LTD</t>
  </si>
  <si>
    <t>DL:05/24</t>
  </si>
  <si>
    <t>06/11/23</t>
  </si>
  <si>
    <t>07/11/23</t>
  </si>
  <si>
    <t>DL:189/97</t>
  </si>
  <si>
    <t>28/05/97</t>
  </si>
  <si>
    <t>DL:22/91</t>
  </si>
  <si>
    <t>14/05/91</t>
  </si>
  <si>
    <t>DL:07/88</t>
  </si>
  <si>
    <t>13/11/88</t>
  </si>
  <si>
    <t>TRUST FABRICS AND KNITING (PVT) LTD</t>
  </si>
  <si>
    <t>DL:15/23</t>
  </si>
  <si>
    <t>04/06/23</t>
  </si>
  <si>
    <t>DL:18/22</t>
  </si>
  <si>
    <t>12/06/22</t>
  </si>
  <si>
    <t>DL:03/22</t>
  </si>
  <si>
    <t>18/01/22</t>
  </si>
  <si>
    <t>Trust FABRICS AND KNITING (PVT) LTD</t>
  </si>
  <si>
    <t>DL:01/21</t>
  </si>
  <si>
    <t>03/01/21</t>
  </si>
  <si>
    <t>DL:16/23</t>
  </si>
  <si>
    <t>14/06/23</t>
  </si>
  <si>
    <t>DL:29/04</t>
  </si>
  <si>
    <t>DL:24/04</t>
  </si>
  <si>
    <t>12/11/04</t>
  </si>
  <si>
    <t>VISTA FIBERS</t>
  </si>
  <si>
    <t>DL:08/14</t>
  </si>
  <si>
    <t>11/11/14</t>
  </si>
  <si>
    <t>20/11/14</t>
  </si>
  <si>
    <t>DL:05/18</t>
  </si>
  <si>
    <t>28/03/18</t>
  </si>
  <si>
    <t>DL:06/18</t>
  </si>
  <si>
    <t>02/04/18</t>
  </si>
  <si>
    <t>DL:17/17</t>
  </si>
  <si>
    <t>10/08/17</t>
  </si>
  <si>
    <t>12/12/18</t>
  </si>
  <si>
    <t>WISTERIA TEXTILES LTD</t>
  </si>
  <si>
    <t>DL:04/19</t>
  </si>
  <si>
    <t>13/03/19</t>
  </si>
  <si>
    <t>DL-13/23</t>
  </si>
  <si>
    <t>24/05/23</t>
  </si>
  <si>
    <t>DL:10/22</t>
  </si>
  <si>
    <t>28/02/22</t>
  </si>
  <si>
    <t>ZEAL TEXTILE LTD</t>
  </si>
  <si>
    <t>DL:07/15</t>
  </si>
  <si>
    <t>06/04/15</t>
  </si>
  <si>
    <t>03/13</t>
  </si>
  <si>
    <t>14/03/13</t>
  </si>
  <si>
    <t>01/07/21</t>
  </si>
  <si>
    <t>16/10</t>
  </si>
  <si>
    <t>31/03/10</t>
  </si>
  <si>
    <t>03/11</t>
  </si>
  <si>
    <t>30/01/11</t>
  </si>
  <si>
    <t>06/11</t>
  </si>
  <si>
    <t>14/02/11</t>
  </si>
  <si>
    <t>16/15</t>
  </si>
  <si>
    <t>01/01/15</t>
  </si>
  <si>
    <t>30/09/15 Special EXIT</t>
  </si>
  <si>
    <t>30/10/15</t>
  </si>
  <si>
    <t>10/17</t>
  </si>
  <si>
    <t>08/01/12</t>
  </si>
  <si>
    <t xml:space="preserve">26/02/17 </t>
  </si>
  <si>
    <t>020/15</t>
  </si>
  <si>
    <t>18/11/15</t>
  </si>
  <si>
    <t xml:space="preserve">31/12/18 </t>
  </si>
  <si>
    <t>39/12,45/12,58/12</t>
  </si>
  <si>
    <t>05/03/14</t>
  </si>
  <si>
    <t>31/12/18 Special RSDL</t>
  </si>
  <si>
    <t>31/03/15</t>
  </si>
  <si>
    <t>021/15</t>
  </si>
  <si>
    <t>20/11/18</t>
  </si>
  <si>
    <t xml:space="preserve">26/12/18 </t>
  </si>
  <si>
    <t>31/12/18</t>
  </si>
  <si>
    <t>19/05/16</t>
  </si>
  <si>
    <t xml:space="preserve">11/06/20 </t>
  </si>
  <si>
    <t>09/06/16</t>
  </si>
  <si>
    <t xml:space="preserve">11/06/18 </t>
  </si>
  <si>
    <t>54/16</t>
  </si>
  <si>
    <t>12/03/16</t>
  </si>
  <si>
    <t>44/16</t>
  </si>
  <si>
    <t>30/05/16</t>
  </si>
  <si>
    <t xml:space="preserve">18/12/18 </t>
  </si>
  <si>
    <t>10/07/18</t>
  </si>
  <si>
    <t>29/12/16</t>
  </si>
  <si>
    <t>20/12/16</t>
  </si>
  <si>
    <t>15/12/18</t>
  </si>
  <si>
    <t>27/03/18</t>
  </si>
  <si>
    <t>20/05/18</t>
  </si>
  <si>
    <t>14/09/14</t>
  </si>
  <si>
    <t>15/09/20</t>
  </si>
  <si>
    <t>15/19 DL</t>
  </si>
  <si>
    <t xml:space="preserve">14/01/21 </t>
  </si>
  <si>
    <t>01/01/22</t>
  </si>
  <si>
    <t>RES DL ...../19</t>
  </si>
  <si>
    <t>30/06/19</t>
  </si>
  <si>
    <t>02/02/21</t>
  </si>
  <si>
    <t>07/11/17</t>
  </si>
  <si>
    <t>31/08/18</t>
  </si>
  <si>
    <t>05/12/19</t>
  </si>
  <si>
    <t xml:space="preserve">06/12/19 </t>
  </si>
  <si>
    <t>01/06/21</t>
  </si>
  <si>
    <t>DL35/20(p)</t>
  </si>
  <si>
    <t>DL36/20(i)</t>
  </si>
  <si>
    <t xml:space="preserve">06/09/21 </t>
  </si>
  <si>
    <t>DL39/20(i)</t>
  </si>
  <si>
    <t>07/05/19</t>
  </si>
  <si>
    <t xml:space="preserve">05/07/19 </t>
  </si>
  <si>
    <t>DL:17/19</t>
  </si>
  <si>
    <t>26/08/19</t>
  </si>
  <si>
    <t>DL:10/19</t>
  </si>
  <si>
    <t>23/03/20</t>
  </si>
  <si>
    <t xml:space="preserve">30/04/21 </t>
  </si>
  <si>
    <t>30/04/20</t>
  </si>
  <si>
    <t>DL:01/20</t>
  </si>
  <si>
    <t xml:space="preserve">30/03/21 </t>
  </si>
  <si>
    <t>DL :12 /19</t>
  </si>
  <si>
    <t>14/05/19</t>
  </si>
  <si>
    <t>30/12/19</t>
  </si>
  <si>
    <t>DL :26 /19</t>
  </si>
  <si>
    <t>09/12/20</t>
  </si>
  <si>
    <t>DL:15/20</t>
  </si>
  <si>
    <t>23/08/20</t>
  </si>
  <si>
    <t>30/01/21</t>
  </si>
  <si>
    <t>30/06/20</t>
  </si>
  <si>
    <t>DL:30/21</t>
  </si>
  <si>
    <t>23/08/21</t>
  </si>
  <si>
    <t>09/11/23  RS-2</t>
  </si>
  <si>
    <t>09/08/24</t>
  </si>
  <si>
    <t>DL:19/20</t>
  </si>
  <si>
    <t>01/03/21</t>
  </si>
  <si>
    <t>30/12/21</t>
  </si>
  <si>
    <t>DL:11/22</t>
  </si>
  <si>
    <t>23/02/22</t>
  </si>
  <si>
    <t>24/05/22</t>
  </si>
  <si>
    <t>DL:14,19-21;13/20</t>
  </si>
  <si>
    <t>31/07/21</t>
  </si>
  <si>
    <t>DL:31/20</t>
  </si>
  <si>
    <t>01/01/70</t>
  </si>
  <si>
    <t>DL: 16/21</t>
  </si>
  <si>
    <t>07/06/21</t>
  </si>
  <si>
    <t>DL:22/21</t>
  </si>
  <si>
    <t>28/06/21</t>
  </si>
  <si>
    <t>DL :25/22</t>
  </si>
  <si>
    <t>18/04/22</t>
  </si>
  <si>
    <t>DL :24/22</t>
  </si>
  <si>
    <t>23/06/21</t>
  </si>
  <si>
    <t>30/04/22</t>
  </si>
  <si>
    <t>DL:23/22</t>
  </si>
  <si>
    <t>23/03/22</t>
  </si>
  <si>
    <t>DL:21/22</t>
  </si>
  <si>
    <t>30/10/22</t>
  </si>
  <si>
    <t>15/11/22</t>
  </si>
  <si>
    <t>29/01/23</t>
  </si>
  <si>
    <t>15/02/23</t>
  </si>
  <si>
    <t>03/01/23</t>
  </si>
  <si>
    <t>27/09/23</t>
  </si>
  <si>
    <t>25/06/24</t>
  </si>
  <si>
    <t>DL:27/19</t>
  </si>
  <si>
    <t>27/05/21</t>
  </si>
  <si>
    <t>30/09/23</t>
  </si>
  <si>
    <t>DL:30/19</t>
  </si>
  <si>
    <t>26/01/23</t>
  </si>
  <si>
    <t>30/12/23</t>
  </si>
  <si>
    <t>31/01/23</t>
  </si>
  <si>
    <t>DL30/12(p)</t>
  </si>
  <si>
    <t>10/06/20</t>
  </si>
  <si>
    <t>30/06/21</t>
  </si>
  <si>
    <t>DL :07/19</t>
  </si>
  <si>
    <t>23/05/21</t>
  </si>
  <si>
    <t>DL :22/19,07/20</t>
  </si>
  <si>
    <t>20/02/23</t>
  </si>
  <si>
    <t>20/12/23</t>
  </si>
  <si>
    <t>11/09/23</t>
  </si>
  <si>
    <t>03/06/24</t>
  </si>
  <si>
    <t>10/12</t>
  </si>
  <si>
    <t>27/10/19</t>
  </si>
  <si>
    <t>04/09/24</t>
  </si>
  <si>
    <t>14/18</t>
  </si>
  <si>
    <t>24/12/18</t>
  </si>
  <si>
    <t>08/01/25</t>
  </si>
  <si>
    <t>16/19</t>
  </si>
  <si>
    <t>09/08/20</t>
  </si>
  <si>
    <t>DL:12/20</t>
  </si>
  <si>
    <t>21/04/20</t>
  </si>
  <si>
    <t>14/02/25</t>
  </si>
  <si>
    <t>DL:12/21</t>
  </si>
  <si>
    <t>30/03/22</t>
  </si>
  <si>
    <t>24/12/24</t>
  </si>
  <si>
    <t>DL:06/22</t>
  </si>
  <si>
    <t>20/04/24</t>
  </si>
  <si>
    <t>DL:EDF 30/23</t>
  </si>
  <si>
    <t>18/12/22</t>
  </si>
  <si>
    <t>08/08/24</t>
  </si>
  <si>
    <t>27/06/24</t>
  </si>
  <si>
    <t>13/11/24</t>
  </si>
  <si>
    <t>28/04/24</t>
  </si>
  <si>
    <t>10/10/24</t>
  </si>
  <si>
    <t xml:space="preserve"> (DL:16/15)</t>
  </si>
  <si>
    <t xml:space="preserve"> (DL:17/16)</t>
  </si>
  <si>
    <t xml:space="preserve"> (DL53/16)</t>
  </si>
  <si>
    <t xml:space="preserve"> (DL:38/15)</t>
  </si>
  <si>
    <t xml:space="preserve"> (DL:05/20) BTB</t>
  </si>
  <si>
    <t xml:space="preserve"> (DL:38/20) P)</t>
  </si>
  <si>
    <t xml:space="preserve"> (DL:31/20)</t>
  </si>
  <si>
    <t xml:space="preserve"> (DL: 16/21) BTB</t>
  </si>
  <si>
    <t xml:space="preserve"> (DL:22/21) BTB</t>
  </si>
  <si>
    <t xml:space="preserve"> (TLDL:07/23</t>
  </si>
  <si>
    <t xml:space="preserve">(TLDL:02/23)          </t>
  </si>
  <si>
    <t xml:space="preserve"> (TLDL:22/23)         </t>
  </si>
  <si>
    <t xml:space="preserve"> (TLDL:26/20A) </t>
  </si>
  <si>
    <t xml:space="preserve"> ( TLDL:28/20A)</t>
  </si>
  <si>
    <t xml:space="preserve"> (DL:16/19)</t>
  </si>
  <si>
    <t xml:space="preserve"> (DL:14/18)</t>
  </si>
  <si>
    <t>WELL PACK POLYMER</t>
  </si>
  <si>
    <t xml:space="preserve"> (DL:15/18)</t>
  </si>
  <si>
    <t xml:space="preserve"> (DL:10/12) BTB</t>
  </si>
  <si>
    <t xml:space="preserve"> (TLDL:18/23)          </t>
  </si>
  <si>
    <t xml:space="preserve"> (TLDL: 19/23)</t>
  </si>
  <si>
    <t>SHADHIN DYEING (PVT) LTD</t>
  </si>
  <si>
    <t>SISTER DENIM COMPOSITE LTD (UNIT2 )</t>
  </si>
  <si>
    <t>FAY MAX SWEATER LTD</t>
  </si>
  <si>
    <t>NAHID APPARELS LTD.</t>
  </si>
  <si>
    <t>NAHID EXPO INT. TEX LTD</t>
  </si>
  <si>
    <t>M.M. KNIT &amp; EMBROIDERY LTD.</t>
  </si>
  <si>
    <t>J.M. CLASSIC FASHION LTD.</t>
  </si>
  <si>
    <t>MARHABA SYNTHETIC MILLS LTD</t>
  </si>
  <si>
    <t>HT INTERNATIONAL LTD</t>
  </si>
  <si>
    <t>BEXIMCO PHARMA</t>
  </si>
  <si>
    <t>BEXIMCO COMMUNICATION LTD</t>
  </si>
  <si>
    <t>PRIME MELEANGE YARN MILLS LTD</t>
  </si>
  <si>
    <t>BASHUNDHARA PAPER MILLS LTD</t>
  </si>
  <si>
    <t>TTT LEATHER &amp; FOOTWEAR IND LTD</t>
  </si>
  <si>
    <t>SL</t>
  </si>
  <si>
    <t>PC No,</t>
  </si>
  <si>
    <t>RSDL date</t>
  </si>
  <si>
    <t>RSDL No</t>
  </si>
  <si>
    <t>RSDL Amt.</t>
  </si>
  <si>
    <t>Amt. paid</t>
  </si>
  <si>
    <t>DL No,</t>
  </si>
  <si>
    <t>APPARELS &amp; APPL.LTD.DL:15/02, BTB</t>
  </si>
  <si>
    <t>APPARELS &amp; APPL.LTD.(DL:24/06) ,BTB</t>
  </si>
  <si>
    <t>024/06</t>
  </si>
  <si>
    <t>AUGUST APPL.LTD.DL:137/96 ,BTB</t>
  </si>
  <si>
    <t>AXIS SWEATER LTD,DL:03/04 ,BTB</t>
  </si>
  <si>
    <t>Roco Enterprise ,DL:22/11</t>
  </si>
  <si>
    <t>022/11</t>
  </si>
  <si>
    <t>AB Fashion Ltd,DL:26/12 ,BTB</t>
  </si>
  <si>
    <t>026/12</t>
  </si>
  <si>
    <t>AB Fashion Ltd,DL54/12 ,BTB</t>
  </si>
  <si>
    <t>54/12</t>
  </si>
  <si>
    <t xml:space="preserve">BLUE STAR APPARELS (DL:06/02 ,BTB) </t>
  </si>
  <si>
    <t>BENGAL FRIENDS &amp; CO.LTD(DL:34/05) ,BTB</t>
  </si>
  <si>
    <t>CHAIN INDUSTIRES LTD,DL24/93 ,BTB</t>
  </si>
  <si>
    <t>024/93</t>
  </si>
  <si>
    <t>CHAIN INDUSTIRES LTD,DL:25/93 , BTB</t>
  </si>
  <si>
    <t>025/93</t>
  </si>
  <si>
    <t>CENTURY KNITWEAR LTD,DL:20/04 ,BTB</t>
  </si>
  <si>
    <t>020/04</t>
  </si>
  <si>
    <t>CENTURY KNITWEAR LTD,DL:07/05 ,BTB</t>
  </si>
  <si>
    <t>CENTURY KNITWEAR LTD,DL:22/05 ,BTB</t>
  </si>
  <si>
    <t>022/05</t>
  </si>
  <si>
    <t>CENTURY KNITWEAR LTD,47/05 , BTB</t>
  </si>
  <si>
    <t>CENTURY KNITWEAR LTD,DL48/05,BTB</t>
  </si>
  <si>
    <t>CENTURY KNITWEAR LTD,DL:49/05 ,BTB</t>
  </si>
  <si>
    <t>COMMISSIONER APPLS.,DL:17/04 ,BTB</t>
  </si>
  <si>
    <t>F.R.GARMENTS LTD,DL:37/94 ,BTB</t>
  </si>
  <si>
    <t>F.R.GARMENTS LTD,DL:52/95 ,BTB</t>
  </si>
  <si>
    <t>F.R.GARMENTS LTD,DL :155/96,BTB</t>
  </si>
  <si>
    <t>HAVANA GARMENTS LTD,DL:150/96 ,BTB</t>
  </si>
  <si>
    <t>INTERWING  KNIT Wear LTD,DL:15/07  ,BTB</t>
  </si>
  <si>
    <t xml:space="preserve">INTERWING  KNIT Wear LTD ,DL:36/1 ,BTB2  </t>
  </si>
  <si>
    <t>.36/12</t>
  </si>
  <si>
    <t xml:space="preserve">INTERWING  KNIT WearLTD ,DL:64/12 ,BTB  </t>
  </si>
  <si>
    <t>.64/12</t>
  </si>
  <si>
    <t>JALANI SHILPA LTD.DL:162/97</t>
  </si>
  <si>
    <t>M.HOSSAIN GARMENTS,DL:185/97  ,BTB</t>
  </si>
  <si>
    <t>MILLINEAM INT'L LTD, dL:31/04 ,BTB</t>
  </si>
  <si>
    <t>MAYN INT'L LTD. , DL:11/92 BTB</t>
  </si>
  <si>
    <t>MAYN INT'L LTD.,DL:204/97,BTB</t>
  </si>
  <si>
    <t>0204/97</t>
  </si>
  <si>
    <t>MAYN INT'L LTD. ,DL:04/98 ,BTB</t>
  </si>
  <si>
    <t>MAYN INT'L LTD.,DL:09/98 ,BTB</t>
  </si>
  <si>
    <t>SHAMRAT FASHIONS LTD,DL:17/04</t>
  </si>
  <si>
    <t>17/04</t>
  </si>
  <si>
    <t>SIKDER FOOD &amp; IND.COLTD,DL:19/04 ,BTB</t>
  </si>
  <si>
    <t>SHAH ALI KNIT WEAR, DL:04/07 ,BTB</t>
  </si>
  <si>
    <t>SAAM BUSINESS PVT.LTD,DL:142/96 ,BTB</t>
  </si>
  <si>
    <t>SAAM BUSINESS PVT.LTD,DL:156/96 ,BTB</t>
  </si>
  <si>
    <t>SAAM BUSINESS PVT.LTD,DL:19/98 ,BTB</t>
  </si>
  <si>
    <t>SAAM BUSINESS PVT.LTD,DL:26/98 ,BTB</t>
  </si>
  <si>
    <t>026/98</t>
  </si>
  <si>
    <t>SAAM BUSINESS PVT.LTD,DL:05/98 ,BTB</t>
  </si>
  <si>
    <t>SAAM BUSINESS PVT.LTD,DL:09/02,BTB</t>
  </si>
  <si>
    <t>SAHIDULLAH KHAN M.P.,DL:48/95 ,BTB</t>
  </si>
  <si>
    <t>Snow White Cotton Ltd,DL:67/12 , BTB</t>
  </si>
  <si>
    <t>67/12</t>
  </si>
  <si>
    <t>SHITALAKHMA ICE &amp; COLD,DL:11/05 ,BTB</t>
  </si>
  <si>
    <t>TINA KNITING LTD,DL:189/97 ,BTB</t>
  </si>
  <si>
    <t>TOUGH STITCH APPARELS,DL:07/88,BTB</t>
  </si>
  <si>
    <t>TOUGH STITCH APPARELS,22/91 ,BTB</t>
  </si>
  <si>
    <t>022/91</t>
  </si>
  <si>
    <t>UNI ASIA TEXTILE LTD, DL:29/04 ,BTB</t>
  </si>
  <si>
    <t>029/04</t>
  </si>
  <si>
    <t>VEGA SWEATER PVT LTD,DL:24/04 ,BTB</t>
  </si>
  <si>
    <t>024/04</t>
  </si>
  <si>
    <t>SAVAR GARMENTS LTD.,DL:20/08 ,BTB</t>
  </si>
  <si>
    <t>020/08</t>
  </si>
  <si>
    <t>SAVAR GARMENTS LTD.,DL:21/08 ,BTB</t>
  </si>
  <si>
    <t>021/08</t>
  </si>
  <si>
    <t>SAVAR GARMENTS LTD.,DL:22/08 ,BTB</t>
  </si>
  <si>
    <t>022/08</t>
  </si>
  <si>
    <t>SAVAR GARMENTS LTD.,DL:23/08 ,BTB</t>
  </si>
  <si>
    <t>023/08</t>
  </si>
  <si>
    <t>Prophecy Apparels (pvt) Ltd,DL:14/11 ,BTB</t>
  </si>
  <si>
    <t>14/11</t>
  </si>
  <si>
    <t xml:space="preserve">Prophecy Apparels (pvt) Ltd,DL02/12 ,BTB </t>
  </si>
  <si>
    <t>02/12</t>
  </si>
  <si>
    <t>Prophecy Apparels (pvt) Ltd,DL:25/12 ,BTB</t>
  </si>
  <si>
    <t>025/12</t>
  </si>
  <si>
    <t>SURUJ MIAH TEXTILE, (DL:03/14)</t>
  </si>
  <si>
    <t>3/14</t>
  </si>
  <si>
    <t>BORAX APPARELS LTD,02/14 ,BTB</t>
  </si>
  <si>
    <t>02/14</t>
  </si>
  <si>
    <t>BORAX APPARELS LTD ,DL:08/13 ,BTB</t>
  </si>
  <si>
    <t>08/13</t>
  </si>
  <si>
    <t>ORK THREAD ,DL:11/14 ,BTB</t>
  </si>
  <si>
    <t>ORK THREAD ,DL:08/15 ,BTB</t>
  </si>
  <si>
    <t>FNF INDUSTRIES LTD ,DL:11/16</t>
  </si>
  <si>
    <t>SUBORNO BANGLADESH (DL :14/17) BTB</t>
  </si>
  <si>
    <t>WISTERIA TEXTILE MILLS LTD,DL:17/17 ,BTB</t>
  </si>
  <si>
    <t>WISTERIA TEXTILE MILLS LTD, DL:05/18 ,BTB</t>
  </si>
  <si>
    <t>BD SUGAR AND FOOD,DL:17/18</t>
  </si>
  <si>
    <t>WISTERIA TEXTILE MILLS LTD,DL:06/18 ,BTB</t>
  </si>
  <si>
    <t>BD SUGAR AND FOOD , DL22/18</t>
  </si>
  <si>
    <t>022/18</t>
  </si>
  <si>
    <t xml:space="preserve">LEEU FASHION ,DL:31/18 ,BTB </t>
  </si>
  <si>
    <t>WISTERIA TEXTILES LIMITED(DL:33,34,35,36-18) BTB</t>
  </si>
  <si>
    <t>33/18,34/18,35/18</t>
  </si>
  <si>
    <t>SHAHABA YARN LTD (DL:10/18,13/18) (BTB)</t>
  </si>
  <si>
    <t>40/18</t>
  </si>
  <si>
    <t>HORIZONE FASHION (DL:19,27,03-18),BTB</t>
  </si>
  <si>
    <t>SHAHABA YARN LTD ,DL:01/19</t>
  </si>
  <si>
    <t>01/19</t>
  </si>
  <si>
    <t xml:space="preserve">LEEU FASHION ,DL:03/19 ,BTB </t>
  </si>
  <si>
    <t>03/19</t>
  </si>
  <si>
    <t>WISTERIA TEXTILES LTD,DL:04/19. BTB</t>
  </si>
  <si>
    <t>04/19</t>
  </si>
  <si>
    <t>LEEU FASHION DL:11/19 BTB</t>
  </si>
  <si>
    <t>11/19 DL</t>
  </si>
  <si>
    <t>SHAHABA YARN LTD,DL:24/19</t>
  </si>
  <si>
    <t>24/19 D/L</t>
  </si>
  <si>
    <t xml:space="preserve">Horizon Fashion Ltd ,DL :23/19,BTB </t>
  </si>
  <si>
    <t>23/19 D/L</t>
  </si>
  <si>
    <t>Rupshi Fish Feed Ltd , DL:19/19</t>
  </si>
  <si>
    <t>19/19 D/L</t>
  </si>
  <si>
    <t>LEEU FASHION LTD, DL 10/20</t>
  </si>
  <si>
    <t>,10/20 DL</t>
  </si>
  <si>
    <t xml:space="preserve">LEEU FASHION LTD ,DL :04/20 , BTB </t>
  </si>
  <si>
    <t>,04/20 DL</t>
  </si>
  <si>
    <t xml:space="preserve">Shahba Yarn Mills Ltd ,DL:03/20 ,BTB </t>
  </si>
  <si>
    <t>,03/20 DL</t>
  </si>
  <si>
    <t>R R Sweater Ltd, Dhaka, DL :02/20,BTB</t>
  </si>
  <si>
    <t>,02/20 DL</t>
  </si>
  <si>
    <t xml:space="preserve">LEEU FASHION LTD.DL18/20, BTB </t>
  </si>
  <si>
    <t xml:space="preserve">Horizon Fashion Ltd .DL:17/20,BTB </t>
  </si>
  <si>
    <t>DL17/20</t>
  </si>
  <si>
    <t xml:space="preserve">SHAHABA Yarn Mills Ltd,DL16/20 ,BTB </t>
  </si>
  <si>
    <t>Shahaba Yarn Ltd  .DL41/20</t>
  </si>
  <si>
    <t>DL41/20</t>
  </si>
  <si>
    <t>Aristocrate Agro    Ltd  .DL42/20</t>
  </si>
  <si>
    <t>DL42/20</t>
  </si>
  <si>
    <t>Aristocrate  Non Woven Ltd  .DL43/20</t>
  </si>
  <si>
    <t>DL43/20</t>
  </si>
  <si>
    <t>Pacific Shoes Ltd .DL: 44/20</t>
  </si>
  <si>
    <t>DL44/20</t>
  </si>
  <si>
    <t>Samytex Industries Ltd, DL:11/21</t>
  </si>
  <si>
    <t>Shahaba Yarn Ltd ( DL:18/19)</t>
  </si>
  <si>
    <t>Shahaba Yarn Ltd  .DL18/19()</t>
  </si>
  <si>
    <t>Samytex Industries Ltd,DL :15/21,BTB</t>
  </si>
  <si>
    <t>Pacific Shoes  &amp; Bags Ind Ltd,DL:17/21</t>
  </si>
  <si>
    <t>Pacific Footwear Industry Ltd, DL :38/21,BTB</t>
  </si>
  <si>
    <t>38/21 DL</t>
  </si>
  <si>
    <t xml:space="preserve">Assertion Designers Ltd , DL :37/21,BTB </t>
  </si>
  <si>
    <t>37/21 DL</t>
  </si>
  <si>
    <t xml:space="preserve">ASSERTION DESIGNERS LTD,DL29/21 ,BTB </t>
  </si>
  <si>
    <t xml:space="preserve">Mahid Appreals Ltd ,DL:27/21 ,BTB </t>
  </si>
  <si>
    <t>LEEU FASHION  LTD, DL :05/19 ,BTB</t>
  </si>
  <si>
    <t>SHAHABA YARN LTD ,DL:08/19</t>
  </si>
  <si>
    <t>RUPSHI FEED LTD,DL:13/19</t>
  </si>
  <si>
    <t>RUPSI FEED LTD ,DL:13/19</t>
  </si>
  <si>
    <t xml:space="preserve">Mahid Appreals Ltd ,DL:40/21 ,BTB </t>
  </si>
  <si>
    <t>PACIFIC SHOES AND BAGS IND LTD, DL:39/21</t>
  </si>
  <si>
    <t xml:space="preserve">LEEU FASHIONS LTD, DL:14/20 ,BTB </t>
  </si>
  <si>
    <t>LEEU FASHION LTD,DL:27/20</t>
  </si>
  <si>
    <t>Trust FABRICS AND KNITING (PVT) LTD,DL:01/21,BTB</t>
  </si>
  <si>
    <t>NEW BROTHER KNITWEAR LTD,DL:04/06, BTB</t>
  </si>
  <si>
    <t>SAAM BUSINESS PVT.LTD,DL:94/95 ,BTB</t>
  </si>
  <si>
    <t>VISTA FIBERS (DL:08/14)</t>
  </si>
  <si>
    <t>ZEAL TEXTILE LTD (DL:07/15) ,BTB</t>
  </si>
  <si>
    <t>(DL:07/15)</t>
  </si>
  <si>
    <t>BD SUGAR AND FOOD,DL:23/18</t>
  </si>
  <si>
    <t>SONALI FEBRICS AND TEXTILE MILLS LTD. (SWEATER UNIT)DL ;45/20</t>
  </si>
  <si>
    <t>DL 45/20</t>
  </si>
  <si>
    <t>MUTUAL CONCERN CORPORATION LTD,DL:13/22</t>
  </si>
  <si>
    <t>ZAKIA COTTONTEX LTD,DL:10/22</t>
  </si>
  <si>
    <t>SWISS QUALITY LTD,DL:09/22</t>
  </si>
  <si>
    <t>TANZINA FASHION LTD,DL:01/22</t>
  </si>
  <si>
    <t>TRUST FABRICS AND KNITING (PVT) LTD,DL :03/22,BTB</t>
  </si>
  <si>
    <t xml:space="preserve">HORIZON FASHIONLTD,DL :02/22,BTB </t>
  </si>
  <si>
    <t>DL :02/22</t>
  </si>
  <si>
    <t>Pacific Shoes  &amp; Bags Ind Ltd (DL:17/22)</t>
  </si>
  <si>
    <t xml:space="preserve">TRUST FABRICS AND KNITING (PVT) LTD,(DL:18/22),BTB </t>
  </si>
  <si>
    <t>18/22</t>
  </si>
  <si>
    <t xml:space="preserve">HORIZON FASHION LTD,DL:16/22,BTB </t>
  </si>
  <si>
    <t>Pacific Footwear Industry Ltd (DL:15/22,BTB</t>
  </si>
  <si>
    <t>PACIFIC FOOTWEAR INDUSTRIES LTD,DL: 20/22 ,BTB</t>
  </si>
  <si>
    <t>DL: 20/22 ,BTB</t>
  </si>
  <si>
    <t>SONALI FEBRICS &amp; TEXTILE MILLS  LTD,DL :27/22</t>
  </si>
  <si>
    <t>DL :27/22</t>
  </si>
  <si>
    <t>YARA KNITWEAR LTD ,DL : 01/23,BTB</t>
  </si>
  <si>
    <t>DL : 01/23,BTB</t>
  </si>
  <si>
    <t>20/03/23</t>
  </si>
  <si>
    <t>SONALI FEBRICS &amp; TEXTILE MILLS  LTD,(DL-17/23,BTB)</t>
  </si>
  <si>
    <t>(DL-17/23,BTB)</t>
  </si>
  <si>
    <t>TTT LEATHER FOOTWEAR IND PVT LTD,(DL:16/23,BTB)</t>
  </si>
  <si>
    <t>(DL:16/23,BTB)</t>
  </si>
  <si>
    <t>TRUST FABRICS AND KNITING (PVT) LTD,(DL:15/23, BTB)</t>
  </si>
  <si>
    <t>(DL:15/23, BTB)</t>
  </si>
  <si>
    <t>Mahid Appreals Ltd (DL:09/23, BTB)</t>
  </si>
  <si>
    <t>(DL:09/23, BTB)</t>
  </si>
  <si>
    <t>MUTUAL CONCERN CORPORATION LTD ,(DL:14/23)</t>
  </si>
  <si>
    <t>(DL:14/23)</t>
  </si>
  <si>
    <t>ZAKIA COTTONTEX LTD(DL-13/23)</t>
  </si>
  <si>
    <t>(DL-13/23)</t>
  </si>
  <si>
    <t>R R SPINNING &amp; COTTON MILLS LTD,DL-27/23</t>
  </si>
  <si>
    <t>DL-27/23</t>
  </si>
  <si>
    <t>ANTIM KNITTING DYEING AND FINISHING LTD ,DL:26/23</t>
  </si>
  <si>
    <t>ANTIM KNITTING DYEING AND FINISHING LTD,DL:29/23,BTB</t>
  </si>
  <si>
    <t>DL:29/23,BTB</t>
  </si>
  <si>
    <t>FAY-MAX SWEATER COMPOSITE LTD,DL:BTB:28/23</t>
  </si>
  <si>
    <t>DL:BTB:28/23</t>
  </si>
  <si>
    <t>MAGPIE KNITWEAR   LTD,DL:35/23, BTB</t>
  </si>
  <si>
    <t>DL:35/23,BTB</t>
  </si>
  <si>
    <t>ADVANCED  COMPOSITE TEXTILE  LTD,DL:34/23,BTB</t>
  </si>
  <si>
    <t>DL:34/23,BTB</t>
  </si>
  <si>
    <t>MAGPIE KNITWEAR LTD, DL:33/23</t>
  </si>
  <si>
    <t>MAGPIE COMPOSITE LTD,DL:32/23</t>
  </si>
  <si>
    <t>MAKS NAHAR INT (DL 40/23)</t>
  </si>
  <si>
    <t xml:space="preserve">MAGPIE COMPOSITE MILLS    LTD , (BTB:36/23) </t>
  </si>
  <si>
    <t>ANTIM KNIT COMPOSITE LTD (DL:31/23,BTB )</t>
  </si>
  <si>
    <t>R R SWEATER LTD , BTB :41/23</t>
  </si>
  <si>
    <t>ML THREAD LTD , DL: 02/24,DEFF</t>
  </si>
  <si>
    <t xml:space="preserve">ML THREAD  LTD , DL: 01/24,EDF </t>
  </si>
  <si>
    <t>ANTIM KNIT &amp; DYING FACTORY LTD (DL:04/24,BTB)</t>
  </si>
  <si>
    <t>TEESTA  SOLAR LTD, DL:05/24CASH</t>
  </si>
  <si>
    <t>RR SPINNING &amp; COTTON MILLS  LTD, DL 06/24,CC</t>
  </si>
  <si>
    <t>BASHUNDHARA MULTI STEEL INDUSTRIES LTD,(DL-07/24)</t>
  </si>
  <si>
    <t>DL-07/2024</t>
  </si>
  <si>
    <t>BUSHUNDHARA MULTI FOOD PRODUCTS LTD (DL-08/24)</t>
  </si>
  <si>
    <t>DL-08/2024</t>
  </si>
  <si>
    <t>ECO STAR APPAREL LTD, DL:09/24,B2B</t>
  </si>
  <si>
    <t xml:space="preserve">DRESDEN TEXTILES  LTD, DL: 14/24, DEF </t>
  </si>
  <si>
    <t>DRESDEN TEXTILES LTD,DL : 12/24,  DEF</t>
  </si>
  <si>
    <t>DRESDEN TEXTILE LTD, DL : 16/24,BTB</t>
  </si>
  <si>
    <t>DRESDEN TEXTILES  LTD, DL: 15/24, DEF</t>
  </si>
  <si>
    <t>SISTER DENIM-U-2, DL-13/24</t>
  </si>
  <si>
    <t>Magpie composite Textle Ltd DL-17/24</t>
  </si>
  <si>
    <t>Parents Apparels,BTB DL-18/24</t>
  </si>
  <si>
    <t>ROAR FASHION BTB DL-21/24 EDF</t>
  </si>
  <si>
    <t>MAKS NAHAR INT (DL 20/24)</t>
  </si>
  <si>
    <t>BASHUNDHARA MULTI STEEL INDUSTRIES LTD(DL-22/24)</t>
  </si>
  <si>
    <t>ML THREAD LTD , DL: 10/24, DEFF</t>
  </si>
  <si>
    <t>WELL PAC POLYMER</t>
  </si>
  <si>
    <t xml:space="preserve">DL:49/05 </t>
  </si>
  <si>
    <t>COMMISSIONER APPLS.</t>
  </si>
  <si>
    <t xml:space="preserve">DL:17/04 </t>
  </si>
  <si>
    <t xml:space="preserve">DL:52/95 </t>
  </si>
  <si>
    <t xml:space="preserve">DL:150/96 </t>
  </si>
  <si>
    <t xml:space="preserve">DL:15/07  </t>
  </si>
  <si>
    <t xml:space="preserve">INTERWING  KNIT Wear LTD </t>
  </si>
  <si>
    <t xml:space="preserve">DL:36/1 </t>
  </si>
  <si>
    <t xml:space="preserve">BTB2  </t>
  </si>
  <si>
    <t xml:space="preserve">INTERWING  KNIT WearLTD </t>
  </si>
  <si>
    <t xml:space="preserve">DL:64/12 </t>
  </si>
  <si>
    <t xml:space="preserve">BTB  </t>
  </si>
  <si>
    <t xml:space="preserve">DL:185/97  </t>
  </si>
  <si>
    <t xml:space="preserve"> dL:31/04 </t>
  </si>
  <si>
    <t xml:space="preserve"> DL:11/92 BTB</t>
  </si>
  <si>
    <t xml:space="preserve">DL:04/98 </t>
  </si>
  <si>
    <t xml:space="preserve">DL:09/98 </t>
  </si>
  <si>
    <t xml:space="preserve">DL:19/04 </t>
  </si>
  <si>
    <t xml:space="preserve"> DL:04/07 </t>
  </si>
  <si>
    <t xml:space="preserve">DL:142/96 </t>
  </si>
  <si>
    <t xml:space="preserve">DL:156/96 </t>
  </si>
  <si>
    <t xml:space="preserve">DL:19/98 </t>
  </si>
  <si>
    <t xml:space="preserve">DL:26/98 </t>
  </si>
  <si>
    <t xml:space="preserve">DL:05/98 </t>
  </si>
  <si>
    <t xml:space="preserve">DL:48/95 </t>
  </si>
  <si>
    <t xml:space="preserve">DL:67/12 </t>
  </si>
  <si>
    <t xml:space="preserve"> BTB</t>
  </si>
  <si>
    <t xml:space="preserve">DL:11/05 </t>
  </si>
  <si>
    <t xml:space="preserve">DL:189/97 </t>
  </si>
  <si>
    <t xml:space="preserve">22/91 </t>
  </si>
  <si>
    <t xml:space="preserve"> DL:29/04 </t>
  </si>
  <si>
    <t xml:space="preserve">DL:24/04 </t>
  </si>
  <si>
    <t>SAVAR GARMENTS LTD.</t>
  </si>
  <si>
    <t xml:space="preserve">DL:20/08 </t>
  </si>
  <si>
    <t xml:space="preserve">DL:21/08 </t>
  </si>
  <si>
    <t xml:space="preserve">DL:22/08 </t>
  </si>
  <si>
    <t xml:space="preserve">DL:23/08 </t>
  </si>
  <si>
    <t xml:space="preserve">DL:14/11 </t>
  </si>
  <si>
    <t xml:space="preserve">DL02/12 </t>
  </si>
  <si>
    <t xml:space="preserve">BTB </t>
  </si>
  <si>
    <t xml:space="preserve">DL:25/12 </t>
  </si>
  <si>
    <t xml:space="preserve"> (DL:03/14)</t>
  </si>
  <si>
    <t xml:space="preserve">DL:08/13 </t>
  </si>
  <si>
    <t xml:space="preserve">DL:11/14 </t>
  </si>
  <si>
    <t xml:space="preserve">DL:08/15 </t>
  </si>
  <si>
    <t xml:space="preserve">FNF INDUSTRIES LTD </t>
  </si>
  <si>
    <t xml:space="preserve">DL:17/17 </t>
  </si>
  <si>
    <t xml:space="preserve"> DL:05/18 </t>
  </si>
  <si>
    <t xml:space="preserve">DL:06/18 </t>
  </si>
  <si>
    <t xml:space="preserve">BD SUGAR AND FOOD </t>
  </si>
  <si>
    <t xml:space="preserve"> DL22/18</t>
  </si>
  <si>
    <t xml:space="preserve">DL:31/18 </t>
  </si>
  <si>
    <t>36-18) BTB</t>
  </si>
  <si>
    <t>13/18) (BTB)</t>
  </si>
  <si>
    <t>03-18)</t>
  </si>
  <si>
    <t xml:space="preserve">DL:03/19 </t>
  </si>
  <si>
    <t>DL:04/19. BTB</t>
  </si>
  <si>
    <t>DL :23/19</t>
  </si>
  <si>
    <t xml:space="preserve">Rupshi Fish Feed Ltd </t>
  </si>
  <si>
    <t xml:space="preserve"> DL:19/19</t>
  </si>
  <si>
    <t xml:space="preserve"> DL 10/20</t>
  </si>
  <si>
    <t xml:space="preserve">DL :04/20 </t>
  </si>
  <si>
    <t xml:space="preserve"> BTB </t>
  </si>
  <si>
    <t xml:space="preserve">DL:03/20 </t>
  </si>
  <si>
    <t>R R Sweater Ltd</t>
  </si>
  <si>
    <t xml:space="preserve"> Dhaka</t>
  </si>
  <si>
    <t xml:space="preserve"> DL :02/20</t>
  </si>
  <si>
    <t xml:space="preserve">DL16/20 </t>
  </si>
  <si>
    <t xml:space="preserve"> DL:11/21</t>
  </si>
  <si>
    <t>DL :15/21</t>
  </si>
  <si>
    <t xml:space="preserve"> DL :38/21</t>
  </si>
  <si>
    <t xml:space="preserve"> DL :37/21</t>
  </si>
  <si>
    <t xml:space="preserve">DL29/21 </t>
  </si>
  <si>
    <t xml:space="preserve">DL:27/21 </t>
  </si>
  <si>
    <t xml:space="preserve"> DL :05/19 </t>
  </si>
  <si>
    <t xml:space="preserve">DL:40/21 </t>
  </si>
  <si>
    <t xml:space="preserve"> DL:39/21</t>
  </si>
  <si>
    <t xml:space="preserve"> DL:14/20 </t>
  </si>
  <si>
    <t xml:space="preserve">DL:94/95 </t>
  </si>
  <si>
    <t>DL:23/18</t>
  </si>
  <si>
    <t>DL :03/22</t>
  </si>
  <si>
    <t>(DL:18/22)</t>
  </si>
  <si>
    <t xml:space="preserve">DL: 20/22 </t>
  </si>
  <si>
    <t>DL : 01/23</t>
  </si>
  <si>
    <t>(DL-17/23</t>
  </si>
  <si>
    <t>BTB)</t>
  </si>
  <si>
    <t>(DL:16/23</t>
  </si>
  <si>
    <t>(DL:15/23</t>
  </si>
  <si>
    <t xml:space="preserve"> BTB)</t>
  </si>
  <si>
    <t>Mahid Appreals Ltd (DL:09/23</t>
  </si>
  <si>
    <t xml:space="preserve">MUTUAL CONCERN CORPORATION LTD </t>
  </si>
  <si>
    <t xml:space="preserve">ANTIM KNITTING DYEING AND FINISHING LTD </t>
  </si>
  <si>
    <t xml:space="preserve"> DL:33/23</t>
  </si>
  <si>
    <t xml:space="preserve">MAGPIE COMPOSITE MILLS    LTD </t>
  </si>
  <si>
    <t xml:space="preserve"> (BTB:36/23) </t>
  </si>
  <si>
    <t>ANTIM KNIT COMPOSITE LTD (DL:31/23</t>
  </si>
  <si>
    <t>BTB )</t>
  </si>
  <si>
    <t xml:space="preserve">R R SWEATER LTD </t>
  </si>
  <si>
    <t xml:space="preserve"> BTB :41/23</t>
  </si>
  <si>
    <t xml:space="preserve"> DL: 02/24</t>
  </si>
  <si>
    <t xml:space="preserve">ML THREAD  LTD </t>
  </si>
  <si>
    <t xml:space="preserve"> DL: 01/24</t>
  </si>
  <si>
    <t xml:space="preserve"> DL:05/24CASH</t>
  </si>
  <si>
    <t xml:space="preserve"> DL 06/24</t>
  </si>
  <si>
    <t>(DL-07/24)</t>
  </si>
  <si>
    <t xml:space="preserve"> DL:09/24</t>
  </si>
  <si>
    <t xml:space="preserve"> DL: 14/24</t>
  </si>
  <si>
    <t xml:space="preserve"> DEF </t>
  </si>
  <si>
    <t>DL : 12/24</t>
  </si>
  <si>
    <t xml:space="preserve">  DEF</t>
  </si>
  <si>
    <t xml:space="preserve"> DL : 16/24</t>
  </si>
  <si>
    <t xml:space="preserve"> DL: 15/24</t>
  </si>
  <si>
    <t xml:space="preserve"> DEF</t>
  </si>
  <si>
    <t xml:space="preserve"> DL-13/24</t>
  </si>
  <si>
    <t>BTB DL-18/24</t>
  </si>
  <si>
    <t xml:space="preserve"> DL: 10/24</t>
  </si>
  <si>
    <t xml:space="preserve"> DEFF</t>
  </si>
  <si>
    <t xml:space="preserve">DL:03/04 </t>
  </si>
  <si>
    <t xml:space="preserve">Roco Enterprise </t>
  </si>
  <si>
    <t xml:space="preserve">DL:26/12 </t>
  </si>
  <si>
    <t xml:space="preserve">BTB) </t>
  </si>
  <si>
    <t xml:space="preserve">DL24/93 </t>
  </si>
  <si>
    <t xml:space="preserve">DL:25/93 </t>
  </si>
  <si>
    <t xml:space="preserve">DL:20/04 </t>
  </si>
  <si>
    <t xml:space="preserve">DL:07/05 </t>
  </si>
  <si>
    <t xml:space="preserve">DL:22/05 </t>
  </si>
  <si>
    <t xml:space="preserve">47/05 </t>
  </si>
  <si>
    <t>DL48/05</t>
  </si>
  <si>
    <t>.DL:15/02</t>
  </si>
  <si>
    <t xml:space="preserve">.(DL:24/06) </t>
  </si>
  <si>
    <t xml:space="preserve">.DL:137/96 </t>
  </si>
  <si>
    <t xml:space="preserve"> (DL:06/02 </t>
  </si>
  <si>
    <t xml:space="preserve">(DL:34/05) </t>
  </si>
  <si>
    <t>.DL:162/97</t>
  </si>
  <si>
    <t xml:space="preserve"> (DL :14/17) BTB</t>
  </si>
  <si>
    <t>(DL:33</t>
  </si>
  <si>
    <t xml:space="preserve"> (DL:10/18</t>
  </si>
  <si>
    <t>HORIZONE FASHION</t>
  </si>
  <si>
    <t xml:space="preserve"> (DL:19/27</t>
  </si>
  <si>
    <t xml:space="preserve"> DL:11/19 BTB</t>
  </si>
  <si>
    <t>.DL18/20</t>
  </si>
  <si>
    <t xml:space="preserve"> .DL:17/20</t>
  </si>
  <si>
    <t xml:space="preserve">  .DL41/20</t>
  </si>
  <si>
    <t>Aristocrate Agro    Ltd</t>
  </si>
  <si>
    <t xml:space="preserve">  .DL42/20</t>
  </si>
  <si>
    <t xml:space="preserve">  .DL43/20</t>
  </si>
  <si>
    <t xml:space="preserve"> .DL: 44/20</t>
  </si>
  <si>
    <t xml:space="preserve"> ( DL:18/19)</t>
  </si>
  <si>
    <t xml:space="preserve"> (DL:08/14)</t>
  </si>
  <si>
    <t xml:space="preserve"> (DL:07/15) </t>
  </si>
  <si>
    <t>DL ;45/20</t>
  </si>
  <si>
    <t xml:space="preserve"> (DL:17/22)</t>
  </si>
  <si>
    <t xml:space="preserve"> (DL:15/22</t>
  </si>
  <si>
    <t xml:space="preserve"> (DL:04/24</t>
  </si>
  <si>
    <t xml:space="preserve"> (DL-08/24)</t>
  </si>
  <si>
    <t xml:space="preserve"> DL-17/24</t>
  </si>
  <si>
    <t>ROAR FASHION BTB</t>
  </si>
  <si>
    <t xml:space="preserve"> DL-21/24 EDF</t>
  </si>
  <si>
    <t xml:space="preserve"> (DL 20/24)</t>
  </si>
  <si>
    <t>(DL-22/24)</t>
  </si>
  <si>
    <t>DL:01/23</t>
  </si>
  <si>
    <t>DL:155/96</t>
  </si>
  <si>
    <t>company_id</t>
  </si>
  <si>
    <t>INTERWING KNIT WEAR LTD</t>
  </si>
  <si>
    <t>INTERWING KNIT WEARLTD</t>
  </si>
  <si>
    <t>SNOW WHITE COTTON LTD</t>
  </si>
  <si>
    <t>PROPHECY APPARELS (PVT) LTD</t>
  </si>
  <si>
    <t>RUPSHI FISH FEED LTD</t>
  </si>
  <si>
    <t>SHAHBA YARN MILLS LTD</t>
  </si>
  <si>
    <t>SHAHABA YARN MILLS LTD</t>
  </si>
  <si>
    <t>PACIFIC SHOES LTD</t>
  </si>
  <si>
    <t>PACIFIC FOOTWEAR INDUSTRY LTD</t>
  </si>
  <si>
    <t>MAHID APPREALS LTD</t>
  </si>
  <si>
    <t>SONALI FEBRICS &amp; TEXTILE MILLS LTD</t>
  </si>
  <si>
    <t>YARA KNITWEAR LTD</t>
  </si>
  <si>
    <t>ADVANCED COMPOSITE TEXTILE LTD</t>
  </si>
  <si>
    <t>TEESTA SOLAR LTD</t>
  </si>
  <si>
    <t>RR SPINNING &amp; COTTON MILLS LTD</t>
  </si>
  <si>
    <t>MAGPIE COMPOSITE TEXTLE LTD</t>
  </si>
  <si>
    <t>PARENTS APPARELS</t>
  </si>
  <si>
    <t>APPARELS &amp; APPL. LTD</t>
  </si>
  <si>
    <t>AUGUST APPL. LTD</t>
  </si>
  <si>
    <t>BENGAL FRIENDS &amp; CO. LTD</t>
  </si>
  <si>
    <t>SAAM BUSINESS PVT. LTD</t>
  </si>
  <si>
    <t>MILLINEAM INT. LTD</t>
  </si>
  <si>
    <t>SIKDER FOOD &amp; IND. CO LTD</t>
  </si>
  <si>
    <t>sanction_no</t>
  </si>
  <si>
    <t>dl_no</t>
  </si>
  <si>
    <t>disburse_date</t>
  </si>
  <si>
    <t>expiry_date</t>
  </si>
  <si>
    <t>loan_creation_amount</t>
  </si>
  <si>
    <t>present_outstanding</t>
  </si>
  <si>
    <t>total_recovery</t>
  </si>
  <si>
    <t>sub_total</t>
  </si>
  <si>
    <t>register_index_no</t>
  </si>
  <si>
    <t>lc_nos</t>
  </si>
  <si>
    <t>lc_amount_usd</t>
  </si>
  <si>
    <t>exchange_rate_of_dl</t>
  </si>
  <si>
    <t>aggigned_officer</t>
  </si>
  <si>
    <t>branch_code</t>
  </si>
  <si>
    <t>reason_for_dl</t>
  </si>
  <si>
    <t>latest_state</t>
  </si>
  <si>
    <t>is_demand_loan_active</t>
  </si>
  <si>
    <t>loan_documents</t>
  </si>
  <si>
    <t>DL:04/24</t>
  </si>
  <si>
    <t>DL:13/24</t>
  </si>
  <si>
    <t xml:space="preserve">DL:21/24 </t>
  </si>
  <si>
    <t>DL:19/24</t>
  </si>
  <si>
    <t>DL:20/22</t>
  </si>
  <si>
    <t>DL:16/20</t>
  </si>
  <si>
    <t>DL:18/20</t>
  </si>
  <si>
    <t xml:space="preserve">DL:02/20 </t>
  </si>
  <si>
    <t>DL:41/18</t>
  </si>
  <si>
    <t>DL:40/18</t>
  </si>
  <si>
    <t>DL:33/18,34/18,35/18</t>
  </si>
  <si>
    <t>DL:54/12</t>
  </si>
  <si>
    <t>DL:17/02</t>
  </si>
  <si>
    <t>DL:37/94</t>
  </si>
  <si>
    <t>DL:9/98</t>
  </si>
  <si>
    <t>TL</t>
  </si>
  <si>
    <t>DL</t>
  </si>
  <si>
    <t>বৈবাবি/বিটিবি/</t>
  </si>
  <si>
    <t>22/11</t>
  </si>
  <si>
    <t>26/12</t>
  </si>
  <si>
    <t>06/02</t>
  </si>
  <si>
    <t>04/98</t>
  </si>
  <si>
    <t>05/98</t>
  </si>
  <si>
    <t>09/02</t>
  </si>
  <si>
    <t>07/88</t>
  </si>
  <si>
    <t>29/04</t>
  </si>
  <si>
    <t>25/12</t>
  </si>
  <si>
    <t>03/14</t>
  </si>
  <si>
    <t>11/14</t>
  </si>
  <si>
    <t>08/15</t>
  </si>
  <si>
    <t>19/19</t>
  </si>
  <si>
    <t>10/20</t>
  </si>
  <si>
    <t>04/20</t>
  </si>
  <si>
    <t>03/20</t>
  </si>
  <si>
    <t xml:space="preserve">02/20 </t>
  </si>
  <si>
    <t>41/20</t>
  </si>
  <si>
    <t>42/20</t>
  </si>
  <si>
    <t>43/20</t>
  </si>
  <si>
    <t>44/20</t>
  </si>
  <si>
    <t>11/21</t>
  </si>
  <si>
    <t>15/21</t>
  </si>
  <si>
    <t>17/21</t>
  </si>
  <si>
    <t>21 DL</t>
  </si>
  <si>
    <t>29/21</t>
  </si>
  <si>
    <t>27/21</t>
  </si>
  <si>
    <t>05/19</t>
  </si>
  <si>
    <t>08/19</t>
  </si>
  <si>
    <t>40/21</t>
  </si>
  <si>
    <t>39/21</t>
  </si>
  <si>
    <t>27/20</t>
  </si>
  <si>
    <t>01/21</t>
  </si>
  <si>
    <t>08/14</t>
  </si>
  <si>
    <t>07/15</t>
  </si>
  <si>
    <t>45/20</t>
  </si>
  <si>
    <t>13/22</t>
  </si>
  <si>
    <t>10/22</t>
  </si>
  <si>
    <t>09/22</t>
  </si>
  <si>
    <t>01/22</t>
  </si>
  <si>
    <t>03/22</t>
  </si>
  <si>
    <t>02/22</t>
  </si>
  <si>
    <t>17/22</t>
  </si>
  <si>
    <t>16/22</t>
  </si>
  <si>
    <t>15/22</t>
  </si>
  <si>
    <t>20/22</t>
  </si>
  <si>
    <t>27/22</t>
  </si>
  <si>
    <t>01/23</t>
  </si>
  <si>
    <t>17/23</t>
  </si>
  <si>
    <t>16/23</t>
  </si>
  <si>
    <t>15/23</t>
  </si>
  <si>
    <t>09/23</t>
  </si>
  <si>
    <t>14/23</t>
  </si>
  <si>
    <t>13/23</t>
  </si>
  <si>
    <t>27/23</t>
  </si>
  <si>
    <t>26/23</t>
  </si>
  <si>
    <t>29/23</t>
  </si>
  <si>
    <t>28/23</t>
  </si>
  <si>
    <t>35/23</t>
  </si>
  <si>
    <t>34/23</t>
  </si>
  <si>
    <t>33/23</t>
  </si>
  <si>
    <t>32/23</t>
  </si>
  <si>
    <t>40/23</t>
  </si>
  <si>
    <t>36/23</t>
  </si>
  <si>
    <t>31/23</t>
  </si>
  <si>
    <t>41/23</t>
  </si>
  <si>
    <t>02/24</t>
  </si>
  <si>
    <t>01/24</t>
  </si>
  <si>
    <t>04/24</t>
  </si>
  <si>
    <t>05/24</t>
  </si>
  <si>
    <t>06/24</t>
  </si>
  <si>
    <t>07/24</t>
  </si>
  <si>
    <t>08/24</t>
  </si>
  <si>
    <t>09/24</t>
  </si>
  <si>
    <t>14/24</t>
  </si>
  <si>
    <t>12/24</t>
  </si>
  <si>
    <t>15/24</t>
  </si>
  <si>
    <t>13/24</t>
  </si>
  <si>
    <t>17/24</t>
  </si>
  <si>
    <t xml:space="preserve">21/24 </t>
  </si>
  <si>
    <t>22/24</t>
  </si>
  <si>
    <t>10/24</t>
  </si>
  <si>
    <t>বৈবাবি/বিটিবি/17/24</t>
  </si>
  <si>
    <t>বৈবাবি/বিটিবি/18/24</t>
  </si>
  <si>
    <t xml:space="preserve">বৈবাবি/বিটিবি/21/24 </t>
  </si>
  <si>
    <t>বৈবাবি/বিটিবি/15/02</t>
  </si>
  <si>
    <t>বৈবাবি/বিটিবি/24/06</t>
  </si>
  <si>
    <t>বৈবাবি/বিটিবি/137/96</t>
  </si>
  <si>
    <t>বৈবাবি/বিটিবি/03/04</t>
  </si>
  <si>
    <t>বৈবাবি/বিটিবি/26/12</t>
  </si>
  <si>
    <t>বৈবাবি/বিটিবি/54/12</t>
  </si>
  <si>
    <t>বৈবাবি/বিটিবি/06/02</t>
  </si>
  <si>
    <t>বৈবাবি/বিটিবি/34/05</t>
  </si>
  <si>
    <t>বৈবাবি/বিটিবি/24/93</t>
  </si>
  <si>
    <t>বৈবাবি/বিটিবি/25/93</t>
  </si>
  <si>
    <t>বৈবাবি/বিটিবি/20/04</t>
  </si>
  <si>
    <t>বৈবাবি/বিটিবি/07/05</t>
  </si>
  <si>
    <t>বৈবাবি/বিটিবি/22/05</t>
  </si>
  <si>
    <t>বৈবাবি/বিটিবি/47/05</t>
  </si>
  <si>
    <t>বৈবাবি/বিটিবি/48/05</t>
  </si>
  <si>
    <t>বৈবাবি/বিটিবি/49/05</t>
  </si>
  <si>
    <t>বৈবাবি/বিটিবি/17/02</t>
  </si>
  <si>
    <t>বৈবাবি/বিটিবি/37/94</t>
  </si>
  <si>
    <t>বৈবাবি/বিটিবি/52/95</t>
  </si>
  <si>
    <t>বৈবাবি/বিটিবি/155/96</t>
  </si>
  <si>
    <t>বৈবাবি/বিটিবি/150/96</t>
  </si>
  <si>
    <t>বৈবাবি/বিটিবি/15/07</t>
  </si>
  <si>
    <t>বৈবাবি/বিটিবি/36/12</t>
  </si>
  <si>
    <t>বৈবাবি/বিটিবি/64/12</t>
  </si>
  <si>
    <t>বৈবাবি/বিটিবি/185/97</t>
  </si>
  <si>
    <t>বৈবাবি/বিটিবি/31/04</t>
  </si>
  <si>
    <t>বৈবাবি/বিটিবি/11/92</t>
  </si>
  <si>
    <t>বৈবাবি/বিটিবি/204/97</t>
  </si>
  <si>
    <t>বৈবাবি/বিটিবি/04/98</t>
  </si>
  <si>
    <t>বৈবাবি/বিটিবি/9/98</t>
  </si>
  <si>
    <t>বৈবাবি/বিটিবি/17/04</t>
  </si>
  <si>
    <t>বৈবাবি/বিটিবি/19/04</t>
  </si>
  <si>
    <t>বৈবাবি/বিটিবি/04/07</t>
  </si>
  <si>
    <t>বৈবাবি/বিটিবি/142/96</t>
  </si>
  <si>
    <t>বৈবাবি/বিটিবি/156/96</t>
  </si>
  <si>
    <t>বৈবাবি/বিটিবি/19/98</t>
  </si>
  <si>
    <t>বৈবাবি/বিটিবি/26/98</t>
  </si>
  <si>
    <t>বৈবাবি/বিটিবি/05/98</t>
  </si>
  <si>
    <t>বৈবাবি/বিটিবি/09/02</t>
  </si>
  <si>
    <t>বৈবাবি/বিটিবি/48/95</t>
  </si>
  <si>
    <t>বৈবাবি/বিটিবি/67/12</t>
  </si>
  <si>
    <t>বৈবাবি/বিটিবি/11/05</t>
  </si>
  <si>
    <t>বৈবাবি/বিটিবি/189/97</t>
  </si>
  <si>
    <t>বৈবাবি/বিটিবি/07/88</t>
  </si>
  <si>
    <t>বৈবাবি/বিটিবি/22/91</t>
  </si>
  <si>
    <t>বৈবাবি/বিটিবি/29/04</t>
  </si>
  <si>
    <t>বৈবাবি/বিটিবি/24/04</t>
  </si>
  <si>
    <t>বৈবাবি/বিটিবি/20/08</t>
  </si>
  <si>
    <t>বৈবাবি/বিটিবি/21/08</t>
  </si>
  <si>
    <t>বৈবাবি/বিটিবি/22/08</t>
  </si>
  <si>
    <t>বৈবাবি/বিটিবি/23/08</t>
  </si>
  <si>
    <t>বৈবাবি/বিটিবি/14/11</t>
  </si>
  <si>
    <t>বৈবাবি/বিটিবি/02/12</t>
  </si>
  <si>
    <t>বৈবাবি/বিটিবি/25/12</t>
  </si>
  <si>
    <t>বৈবাবি/বিটিবি/02/14</t>
  </si>
  <si>
    <t>বৈবাবি/বিটিবি/08/13</t>
  </si>
  <si>
    <t>বৈবাবি/বিটিবি/11/14</t>
  </si>
  <si>
    <t>বৈবাবি/বিটিবি/08/15</t>
  </si>
  <si>
    <t>বৈবাবি/বিটিবি/14/17</t>
  </si>
  <si>
    <t>বৈবাবি/বিটিবি/17/17</t>
  </si>
  <si>
    <t>বৈবাবি/বিটিবি/05/18</t>
  </si>
  <si>
    <t>বৈবাবি/বিটিবি/06/18</t>
  </si>
  <si>
    <t>বৈবাবি/বিটিবি/22/18</t>
  </si>
  <si>
    <t>বৈবাবি/বিটিবি/31/18</t>
  </si>
  <si>
    <t>বৈবাবি/বিটিবি/33/18,34/18,35/18</t>
  </si>
  <si>
    <t>বৈবাবি/বিটিবি/40/18</t>
  </si>
  <si>
    <t>বৈবাবি/বিটিবি/41/18</t>
  </si>
  <si>
    <t>বৈবাবি/বিটিবি/03/19</t>
  </si>
  <si>
    <t>বৈবাবি/বিটিবি/04/19</t>
  </si>
  <si>
    <t>বৈবাবি/বিটিবি/11/19</t>
  </si>
  <si>
    <t>বৈবাবি/বিটিবি/23/19</t>
  </si>
  <si>
    <t>বৈবাবি/বিটিবি/04/20</t>
  </si>
  <si>
    <t>বৈবাবি/বিটিবি/03/20</t>
  </si>
  <si>
    <t xml:space="preserve">বৈবাবি/বিটিবি/02/20 </t>
  </si>
  <si>
    <t>বৈবাবি/বিটিবি/18/20</t>
  </si>
  <si>
    <t>বৈবাবি/বিটিবি/17/20</t>
  </si>
  <si>
    <t>বৈবাবি/বিটিবি/16/20</t>
  </si>
  <si>
    <t>বৈবাবি/বিটিবি/15/21</t>
  </si>
  <si>
    <t>বৈবাবি/বিটিবি/29/21</t>
  </si>
  <si>
    <t>বৈবাবি/বিটিবি/27/21</t>
  </si>
  <si>
    <t>বৈবাবি/বিটিবি/05/19</t>
  </si>
  <si>
    <t>বৈবাবি/বিটিবি/40/21</t>
  </si>
  <si>
    <t>বৈবাবি/বিটিবি/14/20</t>
  </si>
  <si>
    <t>বৈবাবি/বিটিবি/01/21</t>
  </si>
  <si>
    <t>বৈবাবি/বিটিবি/04/06</t>
  </si>
  <si>
    <t>বৈবাবি/বিটিবি/94/95</t>
  </si>
  <si>
    <t>বৈবাবি/বিটিবি/07/15</t>
  </si>
  <si>
    <t>বৈবাবি/বিটিবি/03/22</t>
  </si>
  <si>
    <t>বৈবাবি/বিটিবি/02/22</t>
  </si>
  <si>
    <t>বৈবাবি/বিটিবি/18/22</t>
  </si>
  <si>
    <t>বৈবাবি/বিটিবি/16/22</t>
  </si>
  <si>
    <t>বৈবাবি/বিটিবি/15/22</t>
  </si>
  <si>
    <t>বৈবাবি/বিটিবি/20/22</t>
  </si>
  <si>
    <t>বৈবাবি/বিটিবি/27/22</t>
  </si>
  <si>
    <t>বৈবাবি/বিটিবি/01/23</t>
  </si>
  <si>
    <t>বৈবাবি/বিটিবি/17/23</t>
  </si>
  <si>
    <t>বৈবাবি/বিটিবি/16/23</t>
  </si>
  <si>
    <t>বৈবাবি/বিটিবি/15/23</t>
  </si>
  <si>
    <t>বৈবাবি/বিটিবি/09/23</t>
  </si>
  <si>
    <t>বৈবাবি/বিটিবি/29/23</t>
  </si>
  <si>
    <t>বৈবাবি/বিটিবি/28/23</t>
  </si>
  <si>
    <t>বৈবাবি/বিটিবি/35/23</t>
  </si>
  <si>
    <t>বৈবাবি/বিটিবি/34/23</t>
  </si>
  <si>
    <t>বৈবাবি/বিটিবি/36/23</t>
  </si>
  <si>
    <t>বৈবাবি/বিটিবি/31/23</t>
  </si>
  <si>
    <t>বৈবাবি/বিটিবি/41/23</t>
  </si>
  <si>
    <t>বৈবাবি/বিটিবি/02/24</t>
  </si>
  <si>
    <t>বৈবাবি/বিটিবি/01/24</t>
  </si>
  <si>
    <t>বৈবাবি/বিটিবি/04/24</t>
  </si>
  <si>
    <t>বৈবাবি/বিটিবি/06/24</t>
  </si>
  <si>
    <t>বৈবাবি/বিটিবি/09/24</t>
  </si>
  <si>
    <t>বৈবাবি/বিটিবি/16/24</t>
  </si>
  <si>
    <t>Sl.</t>
  </si>
  <si>
    <t>LC Type</t>
  </si>
  <si>
    <t>BDT CODE List</t>
  </si>
  <si>
    <t>DISBURSE DATE</t>
  </si>
  <si>
    <t xml:space="preserve"> EXPIRY DATE</t>
  </si>
  <si>
    <t>LOAN CREATION AMOUNT</t>
  </si>
  <si>
    <t>TOTAL RECOVERY</t>
  </si>
  <si>
    <t xml:space="preserve">PRESENT OUTSTANDING </t>
  </si>
  <si>
    <t>SUB TOTAL</t>
  </si>
  <si>
    <t>CLASSIFICATION</t>
  </si>
  <si>
    <t>PHYSICAL REGISTER NUMBER</t>
  </si>
  <si>
    <t>LC TYPE</t>
  </si>
  <si>
    <t>LC NUMBERS</t>
  </si>
  <si>
    <t>REMARKS</t>
  </si>
  <si>
    <t>CASH DEFERRED</t>
  </si>
  <si>
    <t>BDT135140001</t>
  </si>
  <si>
    <t>UC/RES to STD</t>
  </si>
  <si>
    <t>BTB LC</t>
  </si>
  <si>
    <t>CASHLC)</t>
  </si>
  <si>
    <t>R: 05, F: 39</t>
  </si>
  <si>
    <t>R: 04, F: 058</t>
  </si>
  <si>
    <t>BCK</t>
  </si>
  <si>
    <t>bck</t>
  </si>
  <si>
    <t xml:space="preserve"> bcK</t>
  </si>
  <si>
    <t>R:05/110, 04/122</t>
  </si>
  <si>
    <t>,27/20</t>
  </si>
  <si>
    <t>,15-10-2020</t>
  </si>
  <si>
    <t>,42/20</t>
  </si>
  <si>
    <t>,28-12-2020</t>
  </si>
  <si>
    <t xml:space="preserve"> ( R:05/168)</t>
  </si>
  <si>
    <t>,43/20</t>
  </si>
  <si>
    <t xml:space="preserve"> ( R:05/169)</t>
  </si>
  <si>
    <t>,44/20</t>
  </si>
  <si>
    <t xml:space="preserve"> ( R: 05/172</t>
  </si>
  <si>
    <t>,45/20</t>
  </si>
  <si>
    <t>, R:05/173</t>
  </si>
  <si>
    <t>,11/21</t>
  </si>
  <si>
    <t>,21-03-2021</t>
  </si>
  <si>
    <t>,17/21</t>
  </si>
  <si>
    <t>,08-062021</t>
  </si>
  <si>
    <t>,28/21</t>
  </si>
  <si>
    <t>,08-9-2021</t>
  </si>
  <si>
    <t>,39/21</t>
  </si>
  <si>
    <t>,31-10-2021</t>
  </si>
  <si>
    <t>,01/22</t>
  </si>
  <si>
    <t>,09/22</t>
  </si>
  <si>
    <t>,27-02-2022</t>
  </si>
  <si>
    <t>,10/22</t>
  </si>
  <si>
    <t>,28-2-2022</t>
  </si>
  <si>
    <t>,13/22</t>
  </si>
  <si>
    <t>,08-03-2022</t>
  </si>
  <si>
    <t>,17/22</t>
  </si>
  <si>
    <t>,06-06-2022</t>
  </si>
  <si>
    <t>SISTER Denim Composite  Ltd UNIT-2</t>
  </si>
  <si>
    <t>,13/23</t>
  </si>
  <si>
    <t>,14/23</t>
  </si>
  <si>
    <t>,26/23</t>
  </si>
  <si>
    <t>,27/23</t>
  </si>
  <si>
    <t>,32/23</t>
  </si>
  <si>
    <t>,33/23</t>
  </si>
  <si>
    <t>,40/23</t>
  </si>
  <si>
    <t>,02/24</t>
  </si>
  <si>
    <t>,07/24</t>
  </si>
  <si>
    <t>,08/24</t>
  </si>
  <si>
    <t>,13/24</t>
  </si>
  <si>
    <t>,10/24</t>
  </si>
  <si>
    <t>,12/24</t>
  </si>
  <si>
    <t>,14/24</t>
  </si>
  <si>
    <t>,11/24</t>
  </si>
  <si>
    <t>,15/24</t>
  </si>
  <si>
    <t>,22/24</t>
  </si>
  <si>
    <t>,30-12-2024</t>
  </si>
  <si>
    <t>BDT135130001</t>
  </si>
  <si>
    <t>BACK TO BACK</t>
  </si>
  <si>
    <t>BDT135160001</t>
  </si>
  <si>
    <t>( r:02/150)</t>
  </si>
  <si>
    <t xml:space="preserve"> ( r:03/36)</t>
  </si>
  <si>
    <t>( r:03/64)</t>
  </si>
  <si>
    <t>HORIZONE  FASHION</t>
  </si>
  <si>
    <t>BTB (R:04/169,172</t>
  </si>
  <si>
    <t>f: 05, r :05</t>
  </si>
  <si>
    <t xml:space="preserve"> (S.N:07)</t>
  </si>
  <si>
    <t>R R Sweater Ltd, Dhaka</t>
  </si>
  <si>
    <t xml:space="preserve">Trust FABRICS AND KNITING (PVT) LTD </t>
  </si>
  <si>
    <t>( R:05/174)</t>
  </si>
  <si>
    <t xml:space="preserve">TRUST FABRICS AND KNITING (PVT) LTD </t>
  </si>
  <si>
    <t xml:space="preserve">,27/22 </t>
  </si>
  <si>
    <t>(r:06/119)</t>
  </si>
  <si>
    <t>,09/23</t>
  </si>
  <si>
    <t>(r:06/153)</t>
  </si>
  <si>
    <t>,31-07-2023</t>
  </si>
  <si>
    <t>R:34/23</t>
  </si>
  <si>
    <t>(R:07/11)</t>
  </si>
  <si>
    <t>R:35/23</t>
  </si>
  <si>
    <t>(R:07/15)</t>
  </si>
  <si>
    <t>R:36/23</t>
  </si>
  <si>
    <t>R:41/23</t>
  </si>
  <si>
    <t xml:space="preserve">(07/27) </t>
  </si>
  <si>
    <t>R:42/23</t>
  </si>
  <si>
    <t xml:space="preserve">(07/29) </t>
  </si>
  <si>
    <t>(09/24)</t>
  </si>
  <si>
    <t>R:07/57</t>
  </si>
  <si>
    <t>Export Development Fund (EDF)</t>
  </si>
  <si>
    <t>BDT135170001</t>
  </si>
  <si>
    <t>,01/24</t>
  </si>
  <si>
    <t>,08-01-2024</t>
  </si>
  <si>
    <t xml:space="preserve"> , MODA:05.01.2023</t>
  </si>
  <si>
    <t>CASH DEFE</t>
  </si>
  <si>
    <t>DL:11/24</t>
  </si>
  <si>
    <t>DL:38/21</t>
  </si>
  <si>
    <t xml:space="preserve">DL:37/21 </t>
  </si>
  <si>
    <t>বৈবাবি/বিটিবি/38/21</t>
  </si>
  <si>
    <t>বৈবাবি/বিটিবি/37/21</t>
  </si>
  <si>
    <t>DL:13/23</t>
  </si>
  <si>
    <t>DL:45/20</t>
  </si>
  <si>
    <t>DL:33/18 - DL:34/18 - DL:35/18</t>
  </si>
  <si>
    <t>Type</t>
  </si>
  <si>
    <t xml:space="preserve"> DL :03/13 </t>
  </si>
  <si>
    <t xml:space="preserve">DL 16/10 </t>
  </si>
  <si>
    <t xml:space="preserve">DL03/11 </t>
  </si>
  <si>
    <t xml:space="preserve"> DL:06/11 </t>
  </si>
  <si>
    <t xml:space="preserve"> (DL20/15) </t>
  </si>
  <si>
    <t xml:space="preserve"> (DL:06/20) </t>
  </si>
  <si>
    <t xml:space="preserve"> (DL:52/16</t>
  </si>
  <si>
    <t xml:space="preserve">) </t>
  </si>
  <si>
    <t xml:space="preserve"> (DL:13</t>
  </si>
  <si>
    <t>30/16)</t>
  </si>
  <si>
    <t xml:space="preserve"> (DL:47/16</t>
  </si>
  <si>
    <t>13/17)</t>
  </si>
  <si>
    <t>DL04/18</t>
  </si>
  <si>
    <t>DL 09/18</t>
  </si>
  <si>
    <t xml:space="preserve">.DL :15/19 </t>
  </si>
  <si>
    <t xml:space="preserve"> (DL:25/19) </t>
  </si>
  <si>
    <t xml:space="preserve"> (DL:6/12</t>
  </si>
  <si>
    <t>10/13)</t>
  </si>
  <si>
    <t>dl 32/20(pr)</t>
  </si>
  <si>
    <t>((DL:33/20</t>
  </si>
  <si>
    <t xml:space="preserve"> i)</t>
  </si>
  <si>
    <t xml:space="preserve">DL:17/19 </t>
  </si>
  <si>
    <t xml:space="preserve"> DL:10/19 </t>
  </si>
  <si>
    <t xml:space="preserve"> DL:01/20  </t>
  </si>
  <si>
    <t xml:space="preserve"> DL:12/19 </t>
  </si>
  <si>
    <t xml:space="preserve"> DL : 26 /19 </t>
  </si>
  <si>
    <t>(DL:15/20)</t>
  </si>
  <si>
    <t xml:space="preserve"> DL:30/21 </t>
  </si>
  <si>
    <t xml:space="preserve">DL:19/20 </t>
  </si>
  <si>
    <t xml:space="preserve">DL:11/22 </t>
  </si>
  <si>
    <t>(DL:14</t>
  </si>
  <si>
    <t>19-21;13/20)  BTB</t>
  </si>
  <si>
    <t>DL:25/22</t>
  </si>
  <si>
    <t>(BTB)</t>
  </si>
  <si>
    <t xml:space="preserve"> DL:22/22</t>
  </si>
  <si>
    <t xml:space="preserve"> DL: 08/22</t>
  </si>
  <si>
    <t>28/22  BTB</t>
  </si>
  <si>
    <t>DL BTB: 08/20</t>
  </si>
  <si>
    <t>14/22</t>
  </si>
  <si>
    <t xml:space="preserve"> DL BTB: 19/22</t>
  </si>
  <si>
    <t>26/22</t>
  </si>
  <si>
    <t>(DLTL:04</t>
  </si>
  <si>
    <t>23/23)</t>
  </si>
  <si>
    <t xml:space="preserve"> (DLTL :03</t>
  </si>
  <si>
    <t>10.25/23)</t>
  </si>
  <si>
    <t xml:space="preserve"> (TLDL:37/23</t>
  </si>
  <si>
    <t>38/23)</t>
  </si>
  <si>
    <t>(TLDL:06/23</t>
  </si>
  <si>
    <t>21/23</t>
  </si>
  <si>
    <t xml:space="preserve">24/23)          </t>
  </si>
  <si>
    <t xml:space="preserve"> (TLDL:12/23</t>
  </si>
  <si>
    <t>39/23</t>
  </si>
  <si>
    <t xml:space="preserve"> (DL:27/19</t>
  </si>
  <si>
    <t>28/20</t>
  </si>
  <si>
    <t xml:space="preserve"> DL:30/19</t>
  </si>
  <si>
    <t>26/20</t>
  </si>
  <si>
    <t>DL30/12</t>
  </si>
  <si>
    <t xml:space="preserve"> DL :07/19 </t>
  </si>
  <si>
    <t>DL:22/19</t>
  </si>
  <si>
    <t>40/20</t>
  </si>
  <si>
    <t>41/21</t>
  </si>
  <si>
    <t>05/22)</t>
  </si>
  <si>
    <t xml:space="preserve">DL:06/22 </t>
  </si>
  <si>
    <t xml:space="preserve"> (TLDL: 05/23)</t>
  </si>
  <si>
    <t xml:space="preserve"> TLCFDL : 03/24</t>
  </si>
  <si>
    <t xml:space="preserve"> TLCFDL :42/23</t>
  </si>
  <si>
    <t>(DL:39,45,58-12</t>
  </si>
  <si>
    <t xml:space="preserve"> (DL:06/14) </t>
  </si>
  <si>
    <t xml:space="preserve"> (DL:12/20 , 30/20(CM), </t>
  </si>
  <si>
    <t>১০/২, আরামবাগ, মতিঝিল, ঢাকা, ১১/২, অভয়দাস লেন, টিকাটুলি, ঢাকা</t>
  </si>
  <si>
    <t>02-47110533, 02-9452770</t>
  </si>
  <si>
    <t>প্রশা/বৈবাবি/আমদানী(ক্যাশ)/মঞ্জরী/22/11</t>
  </si>
  <si>
    <t>প্রশা/বৈবাবি/আমদানী(ক্যাশ)/মঞ্জরী/162/97</t>
  </si>
  <si>
    <t>প্রশা/বৈবাবি/আমদানী(ক্যাশ)/মঞ্জরী/03/14</t>
  </si>
  <si>
    <t>প্রশা/বৈবাবি/আমদানী(ক্যাশ)/মঞ্জরী/11/16</t>
  </si>
  <si>
    <t>প্রশা/বৈবাবি/আমদানী(ক্যাশ)/মঞ্জরী/17/18</t>
  </si>
  <si>
    <t>প্রশা/বৈবাবি/আমদানী(ক্যাশ)/মঞ্জরী/01/19</t>
  </si>
  <si>
    <t>প্রশা/বৈবাবি/আমদানী(ক্যাশ)/মঞ্জরী/24/19</t>
  </si>
  <si>
    <t>প্রশা/বৈবাবি/আমদানী(ক্যাশ)/মঞ্জরী/19/19</t>
  </si>
  <si>
    <t>প্রশা/বৈবাবি/আমদানী(ক্যাশ)/মঞ্জরী/10/20</t>
  </si>
  <si>
    <t>প্রশা/বৈবাবি/আমদানী(ক্যাশ)/মঞ্জরী/41/20</t>
  </si>
  <si>
    <t>প্রশা/বৈবাবি/আমদানী(ক্যাশ)/মঞ্জরী//42/20</t>
  </si>
  <si>
    <t>প্রশা/বৈবাবি/আমদানী(ক্যাশ)/মঞ্জরী/43/20</t>
  </si>
  <si>
    <t>প্রশা/বৈবাবি/আমদানী(ক্যাশ)/মঞ্জরী/44/20</t>
  </si>
  <si>
    <t>প্রশা/বৈবাবি/আমদানী(ক্যাশ)/মঞ্জরী/11/21</t>
  </si>
  <si>
    <t>প্রশা/বৈবাবি/আমদানী(ক্যাশ)/মঞ্জরী/18/19</t>
  </si>
  <si>
    <t>প্রশা/বৈবাবি/আমদানী(ক্যাশ)/মঞ্জরী/17/21</t>
  </si>
  <si>
    <t>প্রশা/বৈবাবি/আমদানী(ক্যাশ)/মঞ্জরী/08/19</t>
  </si>
  <si>
    <t>প্রশা/বৈবাবি/আমদানী(ক্যাশ)/মঞ্জরী/13/19</t>
  </si>
  <si>
    <t>প্রশা/বৈবাবি/আমদানী(ক্যাশ)/মঞ্জরী/39/21</t>
  </si>
  <si>
    <t>প্রশা/বৈবাবি/আমদানী(ক্যাশ)/মঞ্জরী/27/20</t>
  </si>
  <si>
    <t>প্রশা/বৈবাবি/আমদানী(ক্যাশ)/মঞ্জরী/08/14</t>
  </si>
  <si>
    <t>প্রশা/বৈবাবি/আমদানী(ক্যাশ)/মঞ্জরী/23/18</t>
  </si>
  <si>
    <t>প্রশা/বৈবাবি/আমদানী(ক্যাশ)/মঞ্জরী/45/20</t>
  </si>
  <si>
    <t>প্রশা/বৈবাবি/আমদানী(ক্যাশ)/মঞ্জরী/13/22</t>
  </si>
  <si>
    <t>প্রশা/বৈবাবি/আমদানী(ক্যাশ)/মঞ্জরী/10/22</t>
  </si>
  <si>
    <t>প্রশা/বৈবাবি/আমদানী(ক্যাশ)/মঞ্জরী/09/22</t>
  </si>
  <si>
    <t>প্রশা/বৈবাবি/আমদানী(ক্যাশ)/মঞ্জরী/01/22</t>
  </si>
  <si>
    <t>প্রশা/বৈবাবি/আমদানী(ক্যাশ)/মঞ্জরী/17/22</t>
  </si>
  <si>
    <t>প্রশা/বৈবাবি/আমদানী(ক্যাশ)/মঞ্জরী/14/23</t>
  </si>
  <si>
    <t>প্রশা/বৈবাবি/আমদানী(ক্যাশ)/মঞ্জরী/13/23</t>
  </si>
  <si>
    <t>প্রশা/বৈবাবি/আমদানী(ক্যাশ)/মঞ্জরী/27/23</t>
  </si>
  <si>
    <t>প্রশা/বৈবাবি/আমদানী(ক্যাশ)/মঞ্জরী/26/23</t>
  </si>
  <si>
    <t>প্রশা/বৈবাবি/আমদানী(ক্যাশ)/মঞ্জরী/33/23</t>
  </si>
  <si>
    <t>প্রশা/বৈবাবি/আমদানী(ক্যাশ)/মঞ্জরী/32/23</t>
  </si>
  <si>
    <t>প্রশা/বৈবাবি/আমদানী(ক্যাশ)/মঞ্জরী/40/23</t>
  </si>
  <si>
    <t>প্রশা/বৈবাবি/আমদানী(ক্যাশ)/মঞ্জরী/05/24</t>
  </si>
  <si>
    <t>প্রশা/বৈবাবি/আমদানী(ক্যাশ)/মঞ্জরী/07/24</t>
  </si>
  <si>
    <t>প্রশা/বৈবাবি/আমদানী(ক্যাশ)/মঞ্জরী/08/24</t>
  </si>
  <si>
    <t>প্রশা/বৈবাবি/আমদানী(ক্যাশ)/মঞ্জরী/14/24</t>
  </si>
  <si>
    <t>প্রশা/বৈবাবি/আমদানী(ক্যাশ)/মঞ্জরী/12/24</t>
  </si>
  <si>
    <t>প্রশা/বৈবাবি/আমদানী(ক্যাশ)/মঞ্জরী/15/24</t>
  </si>
  <si>
    <t>প্রশা/বৈবাবি/আমদানী(ক্যাশ)/মঞ্জরী/11/24</t>
  </si>
  <si>
    <t>প্রশা/বৈবাবি/আমদানী(ক্যাশ)/মঞ্জরী/13/24</t>
  </si>
  <si>
    <t>প্রশা/বৈবাবি/আমদানী(ক্যাশ)/মঞ্জরী/19/24</t>
  </si>
  <si>
    <t>প্রশা/বৈবাবি/আমদানী(ক্যাশ)/মঞ্জরী/20/24</t>
  </si>
  <si>
    <t>প্রশা/বৈবাবি/আমদানী(ক্যাশ)/মঞ্জরী/22/24</t>
  </si>
  <si>
    <t>প্রশা/বৈবাবি/আমদানী(ক্যাশ)/মঞ্জরী/10/24</t>
  </si>
  <si>
    <t>Landview Commercial Center, 8th Floor, 28 Gulshan North C/A, Gulshan -02, Dhaka -1212</t>
  </si>
  <si>
    <t>Coto Sadipur, Bra Nagar, Sonargoan, Narayangonj, Dhaka</t>
  </si>
  <si>
    <t>Mascat Plaza (10th Floor), Plot -107/A, Sonargoan Road, Sector-07, Uttara, Dhaka-1230</t>
  </si>
  <si>
    <t>Bari Mojlish, Sadipur, Sonargoan, Narayangonj, Dhaka</t>
  </si>
  <si>
    <t>Green City Edge (13-15 th Floor), 89 kakrail C/A, Dhaka -1000</t>
  </si>
  <si>
    <t>02-9333274,02-9359852</t>
  </si>
  <si>
    <t>DL:03/13</t>
  </si>
  <si>
    <t>DL:16/10</t>
  </si>
  <si>
    <t>DL:03/11</t>
  </si>
  <si>
    <t>DL:06/11</t>
  </si>
  <si>
    <t>DL:16/15</t>
  </si>
  <si>
    <t>DL:20/15</t>
  </si>
  <si>
    <t>DL:39,45,58-12</t>
  </si>
  <si>
    <t>DL:06/20</t>
  </si>
  <si>
    <t>DL:17/16</t>
  </si>
  <si>
    <t>DL:38/15</t>
  </si>
  <si>
    <t>DL:05/20</t>
  </si>
  <si>
    <t>DL:52/16,11/17</t>
  </si>
  <si>
    <t>DL:13,15,30/16</t>
  </si>
  <si>
    <t>DL:47/16,4/17,13/17</t>
  </si>
  <si>
    <t>DL:04/18</t>
  </si>
  <si>
    <t>DL:09/18</t>
  </si>
  <si>
    <t xml:space="preserve"> CC</t>
  </si>
  <si>
    <t>DL:25/19</t>
  </si>
  <si>
    <t>DL :15/19</t>
  </si>
  <si>
    <t>DL:06/14</t>
  </si>
  <si>
    <t>DL:6/12 and 10/13</t>
  </si>
  <si>
    <t>DL:32/20(pr)</t>
  </si>
  <si>
    <t>DL:35/20(p)</t>
  </si>
  <si>
    <t>DL:36/20(i)</t>
  </si>
  <si>
    <t>DL:39/20(i)</t>
  </si>
  <si>
    <t>DL:33/20,(i)</t>
  </si>
  <si>
    <t>DL:17/19 ,</t>
  </si>
  <si>
    <t>DL:10/19 ,</t>
  </si>
  <si>
    <t>DL:12/19</t>
  </si>
  <si>
    <t>DL:26/19</t>
  </si>
  <si>
    <t>DL:38/20( P)</t>
  </si>
  <si>
    <t>DL:22/22</t>
  </si>
  <si>
    <t>DL:21/22,</t>
  </si>
  <si>
    <t xml:space="preserve">DL:08/22,28/22 </t>
  </si>
  <si>
    <t>DL:08/20,14/22</t>
  </si>
  <si>
    <t>DL:19/22,26/22</t>
  </si>
  <si>
    <t>DLTL:04,20,23/23</t>
  </si>
  <si>
    <t>TLDL:07/23</t>
  </si>
  <si>
    <t>TLDL:37/23,38/23</t>
  </si>
  <si>
    <t xml:space="preserve">TLDL:02/23  </t>
  </si>
  <si>
    <t xml:space="preserve">TLDL:22/23   </t>
  </si>
  <si>
    <t xml:space="preserve">TLDL:06/23,11/23,21/23,24/23          </t>
  </si>
  <si>
    <t>TLDL:12/23,39/23</t>
  </si>
  <si>
    <t>DL:27/19,28/20</t>
  </si>
  <si>
    <t>DL:30/19,26/20</t>
  </si>
  <si>
    <t>TLDL:26/20A</t>
  </si>
  <si>
    <t>TLDL:28/20A</t>
  </si>
  <si>
    <t>DL:30/12</t>
  </si>
  <si>
    <t>DL:07/19</t>
  </si>
  <si>
    <t>DL:22/19,07/20</t>
  </si>
  <si>
    <t>TLDL: 19/23</t>
  </si>
  <si>
    <t>TLDL:18/23</t>
  </si>
  <si>
    <t>DL:10/12</t>
  </si>
  <si>
    <t>DL:15/18</t>
  </si>
  <si>
    <t>DL:14/18</t>
  </si>
  <si>
    <t>DL:16/19</t>
  </si>
  <si>
    <t>(DL:12/20,30/20(CM),40/20,41/21,04/22,05/22)</t>
  </si>
  <si>
    <t>TLDL: 05/23</t>
  </si>
  <si>
    <t>TLCFDL:03/24</t>
  </si>
  <si>
    <t>TLCFDL:42/23</t>
  </si>
  <si>
    <t>DL:38/20 (P)</t>
  </si>
  <si>
    <t>DL: 08/22,28/22</t>
  </si>
  <si>
    <t>DL: 08/20,14/22</t>
  </si>
  <si>
    <t>DL: 19/22,26/22</t>
  </si>
  <si>
    <t>DLTL:03,08,10,25/23</t>
  </si>
  <si>
    <t>DL:53/16</t>
  </si>
  <si>
    <t>DL:47/16</t>
  </si>
  <si>
    <t>বৈবাবি/বিটিবি/১৯৫/২০২৪</t>
  </si>
  <si>
    <t>বৈবাবি/বিটিবি/১৯৫/২০২৪ (১ম পুনঃতফসিল)</t>
  </si>
  <si>
    <t>dl_nos</t>
  </si>
  <si>
    <t>sanction_date</t>
  </si>
  <si>
    <t>reschedule_amount</t>
  </si>
  <si>
    <t>installment_frequency</t>
  </si>
  <si>
    <t>installment_amount</t>
  </si>
  <si>
    <t>first_installment_date</t>
  </si>
  <si>
    <t>grace_period</t>
  </si>
  <si>
    <t>last_installment_date</t>
  </si>
  <si>
    <t>special_condition</t>
  </si>
  <si>
    <t>reschedule_no</t>
  </si>
  <si>
    <t>created_at</t>
  </si>
  <si>
    <t>প্রশা/বৈবাবি/আমদানী(ক্যাশ)/মঞ্জরী/004/2023</t>
  </si>
  <si>
    <t>Sena Kallan vhaban (8th floor), Motijheel C/A. Dhaka-1000</t>
  </si>
  <si>
    <t>Sena Kallan vhaban (8th floor), Motijheel C/A. Dhaka-1001</t>
  </si>
  <si>
    <t>reschedule_date</t>
  </si>
  <si>
    <t>lc_type</t>
  </si>
  <si>
    <t>tl_no</t>
  </si>
  <si>
    <t>TL:004/2023</t>
  </si>
  <si>
    <t>০৬ মাসের গ্রেস পিরিয়ড, ০৬টি ত্রৈমাসিক কিস্তি, ২ বছর মেয়াদ</t>
  </si>
  <si>
    <t xml:space="preserve">2 টি ত্রৈমাসিক কিস্তি বা সমপরিমান টাকা খেলাপি হলে পুনঃতফসিল সুবিধা বাতিল বলে গন্য হবে। </t>
  </si>
  <si>
    <t>tl_position</t>
  </si>
  <si>
    <t xml:space="preserve"> ১ম পুনঃতফসিল</t>
  </si>
  <si>
    <t>grace_period_details</t>
  </si>
  <si>
    <t>passing_authority</t>
  </si>
  <si>
    <t>প্রশা/বৈবাবি/আমদানী(ক্যাশ)/মঞ্জরী/005/2023</t>
  </si>
  <si>
    <t>TL:005/2023</t>
  </si>
  <si>
    <t>TLDL:19/23</t>
  </si>
  <si>
    <t>Anabil Tower (13, 14th floor), Plot -03, Block-NW (J), Gulshan-02 , Dhaka</t>
  </si>
  <si>
    <t>প্রশা/বৈবাবি/আমদানী(ক্যাশ)/মঞ্জরী/003/2024</t>
  </si>
  <si>
    <t>০৩ মাসের গ্রেস পিরিয়ড ২৩ মাস মেয়াদ ৭ টি ত্রৈমাসিক কিস্তি</t>
  </si>
  <si>
    <t>DL:07/41</t>
  </si>
  <si>
    <t>১ম পুনঃতফসিল</t>
  </si>
  <si>
    <t>Board of directors in 889th meeting</t>
  </si>
  <si>
    <t>Board of directors in 929th meeting</t>
  </si>
  <si>
    <t>Board of directors in 935th meeting</t>
  </si>
  <si>
    <t>DL:42/23</t>
  </si>
  <si>
    <t>TL:195/2024</t>
  </si>
  <si>
    <t>TL:003/2024</t>
  </si>
  <si>
    <t>2 টি ত্রৈমাসিক কিস্তি বা সমপরিমান টাকা খেলাপি হলে পুনঃতফসিল সুবিধা বাতিল বলে গন্য হবে।</t>
  </si>
  <si>
    <t>interest_rate</t>
  </si>
  <si>
    <t>SMART+3.5%</t>
  </si>
  <si>
    <t>SMART+3%</t>
  </si>
  <si>
    <t>DL: 30/23</t>
  </si>
  <si>
    <t>SMART+3.75%</t>
  </si>
  <si>
    <t>Board of directors in 920th meeting</t>
  </si>
  <si>
    <t>০৩ মাসের গ্রেস পিরিয়ড ২৩ মাস মেয়াদ ৬ টি ত্রৈমাসিক কিস্তি</t>
  </si>
  <si>
    <t>TL:001/2024</t>
  </si>
  <si>
    <t>প্রশা/বৈবাবি/আমদানী(ক্যাশ)/মঞ্জরী/001/2024</t>
  </si>
  <si>
    <t>R:07/29</t>
  </si>
  <si>
    <t>R:06/199</t>
  </si>
  <si>
    <t>R:07/41</t>
  </si>
  <si>
    <t>R:06/175</t>
  </si>
  <si>
    <t>Green City Edge (11-12 th Floor), 89 kakrail C/A, Dhaka -1000</t>
  </si>
  <si>
    <t>Green City Edge (11-13th floor), 89 kakrail C/A, Dhaka -1000</t>
  </si>
  <si>
    <t>Green City Edge (12-14 th Floor), 89 kakrail C/A, Dhaka -1000</t>
  </si>
  <si>
    <t>প্রশা/বৈবা/আমদানী(ক্যাশ)/মঞ্জরী/0011/2023</t>
  </si>
  <si>
    <t>TL:0011/2023</t>
  </si>
  <si>
    <t>Board of directors in 894th meeting</t>
  </si>
  <si>
    <t>০৬ মাসের গ্রেস পিরিয়ড, ২২টি ত্রৈমাসিক কিস্তি,  ০৬ বছর মেয়াদ</t>
  </si>
  <si>
    <t>প্রশা/বৈবা/আমদানী(ক্যাশ)/মঞ্জরী/0012/2023</t>
  </si>
  <si>
    <t>০৬ মাসের গ্রেস পিরিয়ড, 18টি ত্রৈমাসিক কিস্তি, 05 বছর মেয়াদ</t>
  </si>
  <si>
    <t>প্রশা/বৈবা/আমদানী(ক্যাশ)/মঞ্জরী/007/2023</t>
  </si>
  <si>
    <t>TL:007/2023</t>
  </si>
  <si>
    <t>TL:0012/2023</t>
  </si>
  <si>
    <t>DL: 05/23</t>
  </si>
  <si>
    <t>DL:03,08,10,25/23</t>
  </si>
  <si>
    <t>প্রশা/বৈবা/আমদানী(ক্যাশ)/মঞ্জরী/008/2023</t>
  </si>
  <si>
    <t>TL:008/2023</t>
  </si>
  <si>
    <t>DL:07/23</t>
  </si>
  <si>
    <t>প্রশা/বৈবা/আমদানী(ক্যাশ)/মঞ্জরী/0010/2023</t>
  </si>
  <si>
    <t>TL:0010/2023</t>
  </si>
  <si>
    <t>DL:37/23,38/23</t>
  </si>
  <si>
    <t>০৬ মাসের গ্রেস পিরিয়ড, 22টি ত্রৈমাসিক কিস্তি, 06 বছর মেয়াদ</t>
  </si>
  <si>
    <t>প্রশা/বৈবা/আমদানী(ক্যাশ)/মঞ্জরী/0014/2023</t>
  </si>
  <si>
    <t>TL:0014/2023</t>
  </si>
  <si>
    <t>DL:02/23</t>
  </si>
  <si>
    <t>প্রশা/বৈবা/আমদানী(ক্যাশ)/মঞ্জরী/009/2023</t>
  </si>
  <si>
    <t>TL:009/2023</t>
  </si>
  <si>
    <t xml:space="preserve">DL:22/23   </t>
  </si>
  <si>
    <t>প্রশা/বৈবা/আমদানী(ক্যাশ)/মঞ্জরী/0013/2023</t>
  </si>
  <si>
    <t xml:space="preserve">DL:06/23,11/23,21/23,24/23          </t>
  </si>
  <si>
    <t>TL:0013/2023</t>
  </si>
  <si>
    <t>প্রশা/বৈবাবি/বিটিবি-15/23</t>
  </si>
  <si>
    <t>TL:15/23</t>
  </si>
  <si>
    <t>DL:12/23,39/23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</si>
</sst>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;[Red]0.00"/>
    <numFmt numFmtId="165" formatCode="_(* #,##0_);_(* \(#,##0\);_(* &quot;-&quot;??_);_(@_)"/>
    <numFmt numFmtId="166" formatCode="###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Trebuchet MS"/>
      <family val="2"/>
    </font>
    <font>
      <sz val="10"/>
      <name val="Trebuchet MS"/>
      <family val="2"/>
    </font>
    <font>
      <sz val="10"/>
      <color rgb="FF7030A0"/>
      <name val="Arial"/>
      <family val="2"/>
    </font>
    <font>
      <sz val="10"/>
      <color theme="1"/>
      <name val="Calibri"/>
      <family val="2"/>
      <scheme val="minor"/>
    </font>
    <font>
      <b/>
      <sz val="10"/>
      <color rgb="FFC0000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rgb="FFFF000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sz val="12"/>
      <color theme="1"/>
      <name val="SutonnyMJ"/>
    </font>
    <font>
      <sz val="11"/>
      <color theme="1"/>
      <name val="SutonnyMJ"/>
    </font>
    <font>
      <sz val="8"/>
      <color indexed="8"/>
      <name val="Arial"/>
      <family val="2"/>
    </font>
    <font>
      <sz val="11"/>
      <color theme="1"/>
      <name val="ArhialkhanMJ"/>
    </font>
    <font>
      <sz val="16"/>
      <color theme="1"/>
      <name val="DhakarChithiMJ"/>
    </font>
    <font>
      <sz val="11"/>
      <color theme="1"/>
      <name val="DhakarChithiMJ"/>
    </font>
    <font>
      <sz val="11"/>
      <color theme="1"/>
      <name val="TonnyBanglaMJ"/>
    </font>
    <font>
      <sz val="8"/>
      <color theme="1"/>
      <name val="Calibri"/>
      <family val="2"/>
      <scheme val="minor"/>
    </font>
    <font>
      <sz val="11"/>
      <color theme="1"/>
      <name val="TangonMotaMJ"/>
    </font>
    <font>
      <b/>
      <sz val="10"/>
      <name val="Times New Roman"/>
      <family val="1"/>
    </font>
    <font>
      <b/>
      <sz val="10"/>
      <color theme="1" tint="4.9989318521683403E-2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 tint="4.9989318521683403E-2"/>
      <name val="Arial"/>
      <family val="2"/>
    </font>
    <font>
      <sz val="11"/>
      <name val="Times New Roman"/>
      <family val="1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i/>
      <sz val="10"/>
      <color theme="1" tint="4.9989318521683403E-2"/>
      <name val="Arial"/>
      <family val="2"/>
    </font>
    <font>
      <sz val="11"/>
      <color theme="1"/>
      <name val="Times New Roman"/>
      <family val="1"/>
    </font>
    <font>
      <sz val="10"/>
      <color theme="1" tint="4.9989318521683403E-2"/>
      <name val="Trebuchet MS"/>
      <family val="2"/>
    </font>
    <font>
      <b/>
      <sz val="12"/>
      <color theme="1" tint="4.9989318521683403E-2"/>
      <name val="Arial"/>
      <family val="2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color theme="4" tint="-0.249977111117893"/>
      <name val="Times New Roman"/>
      <family val="1"/>
    </font>
    <font>
      <b/>
      <i/>
      <sz val="10"/>
      <color theme="1" tint="4.9989318521683403E-2"/>
      <name val="Arial"/>
      <family val="2"/>
    </font>
    <font>
      <b/>
      <sz val="11"/>
      <color theme="1" tint="4.9989318521683403E-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2" fillId="2" borderId="1" xfId="0" quotePrefix="1" applyNumberFormat="1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6" fontId="2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1" xfId="0" applyNumberFormat="1" applyFont="1" applyFill="1" applyBorder="1" applyAlignment="1">
      <alignment horizontal="center" vertical="top" wrapText="1"/>
    </xf>
    <xf numFmtId="164" fontId="4" fillId="2" borderId="1" xfId="1" applyNumberFormat="1" applyFont="1" applyFill="1" applyBorder="1" applyAlignment="1">
      <alignment vertical="top" wrapText="1"/>
    </xf>
    <xf numFmtId="164" fontId="4" fillId="2" borderId="1" xfId="1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17" fontId="5" fillId="2" borderId="1" xfId="0" applyNumberFormat="1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64" fontId="5" fillId="2" borderId="1" xfId="1" applyNumberFormat="1" applyFont="1" applyFill="1" applyBorder="1" applyAlignment="1">
      <alignment vertical="top" wrapText="1"/>
    </xf>
    <xf numFmtId="164" fontId="5" fillId="2" borderId="1" xfId="1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top" wrapText="1"/>
    </xf>
    <xf numFmtId="164" fontId="5" fillId="2" borderId="1" xfId="1" applyNumberFormat="1" applyFont="1" applyFill="1" applyBorder="1" applyAlignment="1">
      <alignment vertical="center" wrapText="1"/>
    </xf>
    <xf numFmtId="16" fontId="4" fillId="2" borderId="1" xfId="0" applyNumberFormat="1" applyFont="1" applyFill="1" applyBorder="1" applyAlignment="1">
      <alignment horizontal="center" vertical="top" wrapText="1"/>
    </xf>
    <xf numFmtId="164" fontId="4" fillId="2" borderId="1" xfId="0" applyNumberFormat="1" applyFont="1" applyFill="1" applyBorder="1"/>
    <xf numFmtId="164" fontId="4" fillId="2" borderId="1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vertical="center" wrapText="1"/>
    </xf>
    <xf numFmtId="17" fontId="2" fillId="2" borderId="1" xfId="0" quotePrefix="1" applyNumberFormat="1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43" fontId="6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" fontId="2" fillId="2" borderId="1" xfId="0" quotePrefix="1" applyNumberFormat="1" applyFont="1" applyFill="1" applyBorder="1" applyAlignment="1">
      <alignment horizontal="center" vertical="top" wrapText="1"/>
    </xf>
    <xf numFmtId="43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17" fontId="2" fillId="2" borderId="1" xfId="0" applyNumberFormat="1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right" vertical="top"/>
    </xf>
    <xf numFmtId="17" fontId="5" fillId="2" borderId="1" xfId="0" applyNumberFormat="1" applyFont="1" applyFill="1" applyBorder="1" applyAlignment="1">
      <alignment vertical="top" wrapText="1"/>
    </xf>
    <xf numFmtId="16" fontId="5" fillId="2" borderId="1" xfId="0" applyNumberFormat="1" applyFont="1" applyFill="1" applyBorder="1" applyAlignment="1">
      <alignment horizontal="center" vertical="top" wrapText="1"/>
    </xf>
    <xf numFmtId="164" fontId="5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/>
    <xf numFmtId="17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" fontId="9" fillId="2" borderId="1" xfId="0" applyNumberFormat="1" applyFont="1" applyFill="1" applyBorder="1" applyAlignment="1">
      <alignment vertical="top" wrapText="1"/>
    </xf>
    <xf numFmtId="17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vertical="top"/>
    </xf>
    <xf numFmtId="2" fontId="4" fillId="2" borderId="1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0" borderId="1" xfId="0" applyFont="1" applyBorder="1"/>
    <xf numFmtId="43" fontId="3" fillId="2" borderId="1" xfId="0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14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quotePrefix="1" applyFont="1" applyFill="1" applyBorder="1" applyAlignment="1">
      <alignment horizontal="center" vertical="top" wrapText="1"/>
    </xf>
    <xf numFmtId="0" fontId="26" fillId="0" borderId="0" xfId="0" applyFont="1" applyFill="1"/>
    <xf numFmtId="164" fontId="2" fillId="0" borderId="1" xfId="1" applyNumberFormat="1" applyFont="1" applyFill="1" applyBorder="1" applyAlignment="1">
      <alignment vertical="top" wrapText="1"/>
    </xf>
    <xf numFmtId="164" fontId="2" fillId="0" borderId="1" xfId="1" applyNumberFormat="1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vertical="top" wrapText="1"/>
    </xf>
    <xf numFmtId="14" fontId="2" fillId="0" borderId="1" xfId="0" quotePrefix="1" applyNumberFormat="1" applyFont="1" applyFill="1" applyBorder="1" applyAlignment="1">
      <alignment horizontal="center" vertical="top" wrapText="1"/>
    </xf>
    <xf numFmtId="17" fontId="2" fillId="0" borderId="1" xfId="0" quotePrefix="1" applyNumberFormat="1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16" fontId="2" fillId="0" borderId="1" xfId="0" quotePrefix="1" applyNumberFormat="1" applyFont="1" applyFill="1" applyBorder="1" applyAlignment="1">
      <alignment horizontal="center" vertical="top" wrapText="1"/>
    </xf>
    <xf numFmtId="16" fontId="2" fillId="0" borderId="1" xfId="0" applyNumberFormat="1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17" fontId="2" fillId="0" borderId="1" xfId="0" quotePrefix="1" applyNumberFormat="1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1" xfId="0" quotePrefix="1" applyFont="1" applyFill="1" applyBorder="1" applyAlignment="1">
      <alignment vertical="top" wrapText="1"/>
    </xf>
    <xf numFmtId="164" fontId="2" fillId="0" borderId="1" xfId="1" applyNumberFormat="1" applyFont="1" applyFill="1" applyBorder="1" applyAlignment="1">
      <alignment vertical="center" wrapText="1"/>
    </xf>
    <xf numFmtId="16" fontId="19" fillId="0" borderId="1" xfId="0" applyNumberFormat="1" applyFont="1" applyFill="1" applyBorder="1" applyAlignment="1">
      <alignment horizontal="center" vertical="top" wrapText="1"/>
    </xf>
    <xf numFmtId="14" fontId="19" fillId="0" borderId="1" xfId="0" applyNumberFormat="1" applyFont="1" applyFill="1" applyBorder="1" applyAlignment="1">
      <alignment horizontal="center" vertical="top" wrapText="1"/>
    </xf>
    <xf numFmtId="164" fontId="19" fillId="0" borderId="1" xfId="1" applyNumberFormat="1" applyFont="1" applyFill="1" applyBorder="1" applyAlignment="1">
      <alignment vertical="top" wrapText="1"/>
    </xf>
    <xf numFmtId="164" fontId="19" fillId="0" borderId="1" xfId="1" applyNumberFormat="1" applyFont="1" applyFill="1" applyBorder="1" applyAlignment="1">
      <alignment horizontal="center" vertical="top" wrapText="1"/>
    </xf>
    <xf numFmtId="164" fontId="19" fillId="0" borderId="1" xfId="1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/>
    <xf numFmtId="164" fontId="2" fillId="0" borderId="2" xfId="1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top" wrapText="1"/>
    </xf>
    <xf numFmtId="164" fontId="2" fillId="0" borderId="2" xfId="1" applyNumberFormat="1" applyFont="1" applyFill="1" applyBorder="1" applyAlignment="1">
      <alignment vertical="center" wrapText="1"/>
    </xf>
    <xf numFmtId="43" fontId="20" fillId="0" borderId="1" xfId="0" applyNumberFormat="1" applyFont="1" applyFill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vertical="top" wrapText="1"/>
    </xf>
    <xf numFmtId="43" fontId="2" fillId="0" borderId="1" xfId="1" applyFont="1" applyFill="1" applyBorder="1" applyAlignment="1">
      <alignment horizontal="center" vertical="top" wrapText="1"/>
    </xf>
    <xf numFmtId="43" fontId="2" fillId="0" borderId="1" xfId="1" applyFont="1" applyFill="1" applyBorder="1" applyAlignment="1">
      <alignment vertical="center" wrapText="1"/>
    </xf>
    <xf numFmtId="43" fontId="2" fillId="0" borderId="2" xfId="1" applyFont="1" applyFill="1" applyBorder="1" applyAlignment="1">
      <alignment vertical="center" wrapText="1"/>
    </xf>
    <xf numFmtId="43" fontId="17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right"/>
    </xf>
    <xf numFmtId="49" fontId="2" fillId="0" borderId="1" xfId="0" quotePrefix="1" applyNumberFormat="1" applyFont="1" applyFill="1" applyBorder="1" applyAlignment="1">
      <alignment horizontal="center" vertical="top" wrapText="1"/>
    </xf>
    <xf numFmtId="43" fontId="21" fillId="0" borderId="1" xfId="0" applyNumberFormat="1" applyFont="1" applyFill="1" applyBorder="1" applyAlignment="1">
      <alignment vertical="top" wrapText="1"/>
    </xf>
    <xf numFmtId="164" fontId="4" fillId="0" borderId="2" xfId="1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vertical="top" wrapText="1"/>
    </xf>
    <xf numFmtId="164" fontId="2" fillId="0" borderId="2" xfId="1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right"/>
    </xf>
    <xf numFmtId="0" fontId="26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Alignment="1">
      <alignment horizontal="right"/>
    </xf>
    <xf numFmtId="0" fontId="4" fillId="0" borderId="1" xfId="0" applyFont="1" applyFill="1" applyBorder="1"/>
    <xf numFmtId="0" fontId="21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horizontal="right" vertical="top"/>
    </xf>
    <xf numFmtId="0" fontId="20" fillId="0" borderId="2" xfId="0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top"/>
    </xf>
    <xf numFmtId="43" fontId="2" fillId="0" borderId="1" xfId="1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top"/>
    </xf>
    <xf numFmtId="16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wrapText="1"/>
    </xf>
    <xf numFmtId="43" fontId="2" fillId="0" borderId="2" xfId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/>
    </xf>
    <xf numFmtId="0" fontId="22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4" fontId="24" fillId="0" borderId="1" xfId="0" applyNumberFormat="1" applyFont="1" applyFill="1" applyBorder="1" applyAlignment="1">
      <alignment horizontal="center" vertical="top" wrapText="1"/>
    </xf>
    <xf numFmtId="164" fontId="24" fillId="0" borderId="1" xfId="0" applyNumberFormat="1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164" fontId="24" fillId="0" borderId="1" xfId="0" applyNumberFormat="1" applyFont="1" applyFill="1" applyBorder="1" applyAlignment="1">
      <alignment horizontal="right" vertical="top"/>
    </xf>
    <xf numFmtId="0" fontId="24" fillId="0" borderId="2" xfId="0" applyFont="1" applyFill="1" applyBorder="1" applyAlignment="1">
      <alignment horizontal="right" vertical="top"/>
    </xf>
    <xf numFmtId="43" fontId="4" fillId="0" borderId="2" xfId="1" applyFont="1" applyFill="1" applyBorder="1" applyAlignment="1">
      <alignment horizontal="right"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21" fillId="0" borderId="1" xfId="0" applyNumberFormat="1" applyFont="1" applyFill="1" applyBorder="1" applyAlignment="1">
      <alignment vertical="top" wrapText="1"/>
    </xf>
    <xf numFmtId="0" fontId="28" fillId="0" borderId="1" xfId="0" applyFont="1" applyFill="1" applyBorder="1"/>
    <xf numFmtId="0" fontId="16" fillId="0" borderId="0" xfId="0" applyFont="1"/>
    <xf numFmtId="0" fontId="0" fillId="0" borderId="1" xfId="0" applyBorder="1"/>
    <xf numFmtId="14" fontId="29" fillId="2" borderId="1" xfId="0" applyNumberFormat="1" applyFont="1" applyFill="1" applyBorder="1" applyAlignment="1">
      <alignment horizontal="center" vertical="top" wrapText="1"/>
    </xf>
    <xf numFmtId="14" fontId="29" fillId="3" borderId="1" xfId="0" applyNumberFormat="1" applyFont="1" applyFill="1" applyBorder="1" applyAlignment="1">
      <alignment horizontal="center"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14" fontId="29" fillId="2" borderId="1" xfId="0" quotePrefix="1" applyNumberFormat="1" applyFont="1" applyFill="1" applyBorder="1" applyAlignment="1">
      <alignment horizontal="center" vertical="top" wrapText="1"/>
    </xf>
    <xf numFmtId="14" fontId="4" fillId="3" borderId="1" xfId="0" applyNumberFormat="1" applyFont="1" applyFill="1" applyBorder="1" applyAlignment="1">
      <alignment horizontal="center" vertical="top" wrapText="1"/>
    </xf>
    <xf numFmtId="14" fontId="8" fillId="2" borderId="5" xfId="0" applyNumberFormat="1" applyFont="1" applyFill="1" applyBorder="1" applyAlignment="1">
      <alignment horizontal="center" vertical="top" wrapText="1"/>
    </xf>
    <xf numFmtId="14" fontId="5" fillId="3" borderId="1" xfId="0" applyNumberFormat="1" applyFont="1" applyFill="1" applyBorder="1" applyAlignment="1">
      <alignment horizontal="center" vertical="top" wrapText="1"/>
    </xf>
    <xf numFmtId="14" fontId="5" fillId="3" borderId="5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vertical="top" wrapText="1"/>
    </xf>
    <xf numFmtId="0" fontId="0" fillId="0" borderId="0" xfId="0" applyNumberFormat="1"/>
    <xf numFmtId="0" fontId="16" fillId="0" borderId="0" xfId="0" applyNumberFormat="1" applyFont="1"/>
    <xf numFmtId="0" fontId="0" fillId="0" borderId="0" xfId="0" applyFont="1"/>
    <xf numFmtId="0" fontId="0" fillId="4" borderId="0" xfId="0" applyFill="1"/>
    <xf numFmtId="0" fontId="0" fillId="5" borderId="0" xfId="0" applyFill="1"/>
    <xf numFmtId="0" fontId="30" fillId="0" borderId="1" xfId="0" applyFont="1" applyBorder="1"/>
    <xf numFmtId="0" fontId="0" fillId="6" borderId="0" xfId="0" applyFill="1"/>
    <xf numFmtId="0" fontId="0" fillId="0" borderId="0" xfId="0" applyFill="1"/>
    <xf numFmtId="0" fontId="0" fillId="7" borderId="0" xfId="0" applyFill="1"/>
    <xf numFmtId="0" fontId="26" fillId="6" borderId="0" xfId="0" applyFont="1" applyFill="1" applyBorder="1" applyAlignment="1">
      <alignment horizontal="left" vertical="center"/>
    </xf>
    <xf numFmtId="0" fontId="31" fillId="0" borderId="1" xfId="0" applyFont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1" fillId="11" borderId="1" xfId="0" applyFont="1" applyFill="1" applyBorder="1"/>
    <xf numFmtId="0" fontId="0" fillId="14" borderId="0" xfId="0" applyFill="1"/>
    <xf numFmtId="0" fontId="26" fillId="5" borderId="1" xfId="0" applyFont="1" applyFill="1" applyBorder="1"/>
    <xf numFmtId="0" fontId="0" fillId="6" borderId="1" xfId="0" applyFill="1" applyBorder="1"/>
    <xf numFmtId="0" fontId="26" fillId="6" borderId="1" xfId="0" applyFont="1" applyFill="1" applyBorder="1" applyAlignment="1">
      <alignment horizontal="left" vertical="center"/>
    </xf>
    <xf numFmtId="0" fontId="0" fillId="5" borderId="1" xfId="0" applyFill="1" applyBorder="1"/>
    <xf numFmtId="0" fontId="31" fillId="11" borderId="3" xfId="0" applyFont="1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30" fillId="0" borderId="3" xfId="0" applyFont="1" applyBorder="1"/>
    <xf numFmtId="0" fontId="0" fillId="10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6" xfId="0" applyFill="1" applyBorder="1" applyProtection="1"/>
    <xf numFmtId="0" fontId="26" fillId="0" borderId="1" xfId="0" applyFont="1" applyFill="1" applyBorder="1"/>
    <xf numFmtId="0" fontId="0" fillId="0" borderId="1" xfId="0" applyFill="1" applyBorder="1"/>
    <xf numFmtId="0" fontId="26" fillId="0" borderId="1" xfId="0" applyFont="1" applyFill="1" applyBorder="1" applyAlignment="1">
      <alignment horizontal="left" vertical="center"/>
    </xf>
    <xf numFmtId="0" fontId="0" fillId="0" borderId="1" xfId="0" applyFill="1" applyBorder="1" applyProtection="1"/>
    <xf numFmtId="0" fontId="0" fillId="0" borderId="0" xfId="0" applyFill="1" applyProtection="1"/>
    <xf numFmtId="166" fontId="0" fillId="0" borderId="6" xfId="0" applyNumberFormat="1" applyFill="1" applyBorder="1" applyProtection="1"/>
    <xf numFmtId="0" fontId="32" fillId="0" borderId="1" xfId="0" applyFont="1" applyFill="1" applyBorder="1" applyProtection="1"/>
    <xf numFmtId="17" fontId="0" fillId="0" borderId="0" xfId="0" applyNumberFormat="1"/>
    <xf numFmtId="0" fontId="0" fillId="0" borderId="7" xfId="0" applyFill="1" applyBorder="1" applyProtection="1"/>
    <xf numFmtId="0" fontId="0" fillId="0" borderId="8" xfId="0" applyFill="1" applyBorder="1" applyProtection="1"/>
    <xf numFmtId="166" fontId="0" fillId="0" borderId="8" xfId="0" applyNumberFormat="1" applyFill="1" applyBorder="1" applyProtection="1"/>
    <xf numFmtId="166" fontId="0" fillId="0" borderId="1" xfId="0" applyNumberFormat="1" applyFill="1" applyBorder="1" applyProtection="1"/>
    <xf numFmtId="0" fontId="0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166" fontId="38" fillId="0" borderId="1" xfId="0" applyNumberFormat="1" applyFont="1" applyFill="1" applyBorder="1" applyProtection="1"/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center" vertical="center" wrapText="1"/>
    </xf>
    <xf numFmtId="164" fontId="40" fillId="2" borderId="1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64" fontId="39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40" fillId="15" borderId="1" xfId="0" applyFont="1" applyFill="1" applyBorder="1" applyAlignment="1">
      <alignment vertical="center" wrapText="1"/>
    </xf>
    <xf numFmtId="0" fontId="20" fillId="15" borderId="1" xfId="0" applyFont="1" applyFill="1" applyBorder="1" applyAlignment="1">
      <alignment horizontal="center" vertical="center"/>
    </xf>
    <xf numFmtId="0" fontId="43" fillId="15" borderId="1" xfId="0" applyFont="1" applyFill="1" applyBorder="1" applyAlignment="1">
      <alignment vertical="top" wrapText="1"/>
    </xf>
    <xf numFmtId="0" fontId="44" fillId="15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45" fillId="2" borderId="1" xfId="1" applyNumberFormat="1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vertical="top" wrapText="1"/>
    </xf>
    <xf numFmtId="0" fontId="44" fillId="2" borderId="1" xfId="0" applyFont="1" applyFill="1" applyBorder="1" applyAlignment="1">
      <alignment horizontal="center" vertical="center" wrapText="1"/>
    </xf>
    <xf numFmtId="16" fontId="4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" fontId="44" fillId="15" borderId="1" xfId="0" applyNumberFormat="1" applyFont="1" applyFill="1" applyBorder="1" applyAlignment="1">
      <alignment horizontal="center" vertical="center" wrapText="1"/>
    </xf>
    <xf numFmtId="16" fontId="44" fillId="15" borderId="1" xfId="0" applyNumberFormat="1" applyFont="1" applyFill="1" applyBorder="1" applyAlignment="1">
      <alignment horizontal="center" vertical="center" wrapText="1"/>
    </xf>
    <xf numFmtId="0" fontId="40" fillId="16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/>
    </xf>
    <xf numFmtId="0" fontId="43" fillId="16" borderId="1" xfId="0" applyFont="1" applyFill="1" applyBorder="1" applyAlignment="1">
      <alignment vertical="top" wrapText="1"/>
    </xf>
    <xf numFmtId="49" fontId="44" fillId="16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/>
    </xf>
    <xf numFmtId="17" fontId="44" fillId="15" borderId="1" xfId="0" quotePrefix="1" applyNumberFormat="1" applyFont="1" applyFill="1" applyBorder="1" applyAlignment="1">
      <alignment horizontal="center" vertical="center" wrapText="1"/>
    </xf>
    <xf numFmtId="164" fontId="45" fillId="2" borderId="1" xfId="0" applyNumberFormat="1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center" vertical="center"/>
    </xf>
    <xf numFmtId="0" fontId="43" fillId="4" borderId="1" xfId="0" applyFont="1" applyFill="1" applyBorder="1" applyAlignment="1">
      <alignment vertical="top" wrapText="1"/>
    </xf>
    <xf numFmtId="16" fontId="44" fillId="4" borderId="1" xfId="0" quotePrefix="1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vertical="center"/>
    </xf>
    <xf numFmtId="16" fontId="44" fillId="2" borderId="1" xfId="0" quotePrefix="1" applyNumberFormat="1" applyFont="1" applyFill="1" applyBorder="1" applyAlignment="1">
      <alignment horizontal="center" vertical="center" wrapText="1"/>
    </xf>
    <xf numFmtId="16" fontId="44" fillId="15" borderId="1" xfId="0" quotePrefix="1" applyNumberFormat="1" applyFont="1" applyFill="1" applyBorder="1" applyAlignment="1">
      <alignment horizontal="center" vertical="center" wrapText="1"/>
    </xf>
    <xf numFmtId="164" fontId="45" fillId="2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44" fillId="5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 wrapText="1"/>
    </xf>
    <xf numFmtId="164" fontId="48" fillId="2" borderId="1" xfId="1" applyNumberFormat="1" applyFont="1" applyFill="1" applyBorder="1" applyAlignment="1">
      <alignment horizontal="center" vertical="center" wrapText="1"/>
    </xf>
    <xf numFmtId="0" fontId="40" fillId="15" borderId="1" xfId="0" applyFont="1" applyFill="1" applyBorder="1" applyAlignment="1">
      <alignment vertical="center"/>
    </xf>
    <xf numFmtId="16" fontId="44" fillId="5" borderId="1" xfId="0" applyNumberFormat="1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/>
    </xf>
    <xf numFmtId="2" fontId="45" fillId="2" borderId="1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0" fillId="16" borderId="1" xfId="0" applyFont="1" applyFill="1" applyBorder="1" applyAlignment="1">
      <alignment vertical="center"/>
    </xf>
    <xf numFmtId="16" fontId="44" fillId="16" borderId="1" xfId="0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/>
    </xf>
    <xf numFmtId="0" fontId="32" fillId="16" borderId="1" xfId="0" applyFont="1" applyFill="1" applyBorder="1" applyProtection="1"/>
    <xf numFmtId="0" fontId="50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14" fontId="46" fillId="2" borderId="1" xfId="0" applyNumberFormat="1" applyFont="1" applyFill="1" applyBorder="1" applyAlignment="1">
      <alignment horizontal="center" vertical="center" wrapText="1"/>
    </xf>
    <xf numFmtId="14" fontId="46" fillId="0" borderId="1" xfId="0" applyNumberFormat="1" applyFont="1" applyFill="1" applyBorder="1" applyAlignment="1">
      <alignment horizontal="center" vertical="center" wrapText="1"/>
    </xf>
    <xf numFmtId="164" fontId="50" fillId="0" borderId="1" xfId="0" applyNumberFormat="1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 wrapText="1"/>
    </xf>
    <xf numFmtId="0" fontId="44" fillId="16" borderId="1" xfId="0" quotePrefix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0" fontId="44" fillId="16" borderId="1" xfId="0" applyFont="1" applyFill="1" applyBorder="1" applyAlignment="1">
      <alignment horizontal="center" vertical="center" wrapText="1"/>
    </xf>
    <xf numFmtId="0" fontId="20" fillId="15" borderId="1" xfId="0" applyFont="1" applyFill="1" applyBorder="1" applyAlignment="1">
      <alignment horizontal="center" vertical="center" wrapText="1"/>
    </xf>
    <xf numFmtId="0" fontId="44" fillId="15" borderId="1" xfId="0" quotePrefix="1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vertical="top" wrapText="1"/>
    </xf>
    <xf numFmtId="16" fontId="44" fillId="16" borderId="1" xfId="0" quotePrefix="1" applyNumberFormat="1" applyFont="1" applyFill="1" applyBorder="1" applyAlignment="1">
      <alignment horizontal="center" vertical="center" wrapText="1"/>
    </xf>
    <xf numFmtId="14" fontId="44" fillId="15" borderId="1" xfId="0" applyNumberFormat="1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6" fontId="52" fillId="4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43" fontId="24" fillId="2" borderId="1" xfId="1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164" fontId="19" fillId="2" borderId="1" xfId="1" applyNumberFormat="1" applyFont="1" applyFill="1" applyBorder="1" applyAlignment="1">
      <alignment horizontal="center" vertical="center" wrapText="1"/>
    </xf>
    <xf numFmtId="49" fontId="44" fillId="4" borderId="1" xfId="0" applyNumberFormat="1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44" fillId="2" borderId="1" xfId="0" applyNumberFormat="1" applyFont="1" applyFill="1" applyBorder="1" applyAlignment="1">
      <alignment horizontal="center" vertical="center" wrapText="1"/>
    </xf>
    <xf numFmtId="49" fontId="44" fillId="15" borderId="1" xfId="0" applyNumberFormat="1" applyFont="1" applyFill="1" applyBorder="1" applyAlignment="1">
      <alignment horizontal="center" vertical="center" wrapText="1"/>
    </xf>
    <xf numFmtId="49" fontId="44" fillId="15" borderId="1" xfId="0" quotePrefix="1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3" fontId="45" fillId="2" borderId="1" xfId="1" applyFont="1" applyFill="1" applyBorder="1" applyAlignment="1">
      <alignment horizontal="center" vertical="center"/>
    </xf>
    <xf numFmtId="16" fontId="44" fillId="4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64" fontId="4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164" fontId="4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52" fillId="16" borderId="1" xfId="0" applyFont="1" applyFill="1" applyBorder="1" applyAlignment="1">
      <alignment horizontal="center" vertical="center" wrapText="1"/>
    </xf>
    <xf numFmtId="14" fontId="24" fillId="2" borderId="1" xfId="0" applyNumberFormat="1" applyFont="1" applyFill="1" applyBorder="1" applyAlignment="1">
      <alignment horizontal="center" vertical="center" wrapText="1"/>
    </xf>
    <xf numFmtId="164" fontId="55" fillId="2" borderId="1" xfId="0" applyNumberFormat="1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center" vertical="center"/>
    </xf>
    <xf numFmtId="164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vertical="top" wrapText="1"/>
    </xf>
    <xf numFmtId="0" fontId="39" fillId="15" borderId="1" xfId="0" applyFont="1" applyFill="1" applyBorder="1" applyAlignment="1">
      <alignment vertical="top" wrapText="1"/>
    </xf>
    <xf numFmtId="0" fontId="49" fillId="15" borderId="1" xfId="0" applyFont="1" applyFill="1" applyBorder="1"/>
    <xf numFmtId="16" fontId="4" fillId="15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0" fontId="40" fillId="16" borderId="6" xfId="0" applyFont="1" applyFill="1" applyBorder="1" applyAlignment="1">
      <alignment vertical="center" wrapText="1"/>
    </xf>
    <xf numFmtId="0" fontId="0" fillId="0" borderId="2" xfId="0" applyFill="1" applyBorder="1" applyProtection="1"/>
    <xf numFmtId="0" fontId="0" fillId="0" borderId="9" xfId="0" applyFill="1" applyBorder="1" applyProtection="1"/>
    <xf numFmtId="0" fontId="0" fillId="0" borderId="1" xfId="0" applyFont="1" applyBorder="1"/>
    <xf numFmtId="0" fontId="0" fillId="0" borderId="0" xfId="0" applyBorder="1"/>
    <xf numFmtId="0" fontId="0" fillId="0" borderId="10" xfId="0" applyFill="1" applyBorder="1" applyProtection="1"/>
    <xf numFmtId="14" fontId="0" fillId="0" borderId="6" xfId="0" applyNumberFormat="1" applyFill="1" applyBorder="1" applyProtection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4" fontId="0" fillId="0" borderId="5" xfId="0" applyNumberFormat="1" applyFill="1" applyBorder="1" applyAlignment="1" applyProtection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 wrapText="1"/>
    </xf>
    <xf numFmtId="0" fontId="0" fillId="0" borderId="11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14" fontId="0" fillId="0" borderId="12" xfId="0" applyNumberForma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workbookViewId="0">
      <selection sqref="A1:M1"/>
    </sheetView>
  </sheetViews>
  <sheetFormatPr defaultColWidth="16" defaultRowHeight="15"/>
  <cols>
    <col min="1" max="1" width="3" bestFit="1" customWidth="1"/>
    <col min="2" max="2" width="13.28515625" bestFit="1" customWidth="1"/>
    <col min="4" max="4" width="11.28515625" bestFit="1" customWidth="1"/>
    <col min="5" max="5" width="10.7109375" bestFit="1" customWidth="1"/>
    <col min="6" max="6" width="11.28515625" bestFit="1" customWidth="1"/>
    <col min="7" max="7" width="13.7109375" bestFit="1" customWidth="1"/>
    <col min="8" max="8" width="11.5703125" bestFit="1" customWidth="1"/>
    <col min="9" max="10" width="14.7109375" bestFit="1" customWidth="1"/>
    <col min="11" max="11" width="18.28515625" bestFit="1" customWidth="1"/>
    <col min="12" max="12" width="15.85546875" bestFit="1" customWidth="1"/>
    <col min="13" max="13" width="13.140625" bestFit="1" customWidth="1"/>
  </cols>
  <sheetData>
    <row r="1" spans="1:13" ht="25.5">
      <c r="A1" s="85" t="s">
        <v>175</v>
      </c>
      <c r="B1" s="85" t="s">
        <v>176</v>
      </c>
      <c r="C1" s="85" t="s">
        <v>177</v>
      </c>
      <c r="D1" s="2" t="s">
        <v>178</v>
      </c>
      <c r="E1" s="2" t="s">
        <v>180</v>
      </c>
      <c r="F1" s="2" t="s">
        <v>179</v>
      </c>
      <c r="G1" s="2" t="s">
        <v>181</v>
      </c>
      <c r="H1" s="2" t="s">
        <v>182</v>
      </c>
      <c r="I1" s="2" t="s">
        <v>184</v>
      </c>
      <c r="J1" s="2" t="s">
        <v>183</v>
      </c>
      <c r="K1" s="2" t="s">
        <v>187</v>
      </c>
      <c r="L1" s="2" t="s">
        <v>185</v>
      </c>
      <c r="M1" s="2" t="s">
        <v>186</v>
      </c>
    </row>
    <row r="2" spans="1:13">
      <c r="A2" s="1">
        <v>1</v>
      </c>
      <c r="B2">
        <v>19</v>
      </c>
      <c r="C2" s="1" t="s">
        <v>2</v>
      </c>
      <c r="D2" s="2" t="s">
        <v>3</v>
      </c>
      <c r="E2" s="3" t="s">
        <v>4</v>
      </c>
      <c r="F2" s="3" t="s">
        <v>4</v>
      </c>
      <c r="G2" s="4">
        <v>3468239</v>
      </c>
      <c r="H2" s="4">
        <v>2432577.38</v>
      </c>
      <c r="I2" s="5">
        <v>1</v>
      </c>
      <c r="J2" s="4"/>
      <c r="K2" s="74"/>
      <c r="L2" s="6" t="s">
        <v>5</v>
      </c>
      <c r="M2" s="45"/>
    </row>
    <row r="3" spans="1:13">
      <c r="A3" s="1">
        <v>2</v>
      </c>
      <c r="B3">
        <v>19</v>
      </c>
      <c r="C3" s="1" t="s">
        <v>2</v>
      </c>
      <c r="D3" s="7" t="s">
        <v>6</v>
      </c>
      <c r="E3" s="3" t="s">
        <v>7</v>
      </c>
      <c r="F3" s="3" t="s">
        <v>7</v>
      </c>
      <c r="G3" s="4">
        <v>13987922.550000001</v>
      </c>
      <c r="H3" s="4">
        <v>2426599</v>
      </c>
      <c r="I3" s="5">
        <v>0</v>
      </c>
      <c r="J3" s="4"/>
      <c r="K3" s="74"/>
      <c r="L3" s="6" t="s">
        <v>5</v>
      </c>
      <c r="M3" s="45"/>
    </row>
    <row r="4" spans="1:13">
      <c r="A4" s="1">
        <v>3</v>
      </c>
      <c r="B4">
        <v>19</v>
      </c>
      <c r="C4" s="1" t="s">
        <v>2</v>
      </c>
      <c r="D4" s="2" t="s">
        <v>8</v>
      </c>
      <c r="E4" s="2" t="s">
        <v>9</v>
      </c>
      <c r="F4" s="2" t="s">
        <v>9</v>
      </c>
      <c r="G4" s="4">
        <v>883995</v>
      </c>
      <c r="H4" s="4">
        <v>0</v>
      </c>
      <c r="I4" s="5">
        <v>0</v>
      </c>
      <c r="J4" s="4"/>
      <c r="K4" s="74"/>
      <c r="L4" s="6" t="s">
        <v>5</v>
      </c>
      <c r="M4" s="45"/>
    </row>
    <row r="5" spans="1:13">
      <c r="A5" s="1">
        <v>4</v>
      </c>
      <c r="B5">
        <v>19</v>
      </c>
      <c r="C5" s="1" t="s">
        <v>2</v>
      </c>
      <c r="D5" s="7" t="s">
        <v>10</v>
      </c>
      <c r="E5" s="8">
        <v>36709</v>
      </c>
      <c r="F5" s="8">
        <v>36709</v>
      </c>
      <c r="G5" s="4">
        <v>2303345.46</v>
      </c>
      <c r="H5" s="4">
        <v>40617620.630000003</v>
      </c>
      <c r="I5" s="5">
        <v>0</v>
      </c>
      <c r="J5" s="4">
        <v>1</v>
      </c>
      <c r="K5" s="74"/>
      <c r="L5" s="6" t="s">
        <v>5</v>
      </c>
      <c r="M5" s="45"/>
    </row>
    <row r="6" spans="1:13">
      <c r="A6" s="1">
        <v>5</v>
      </c>
      <c r="B6">
        <v>21</v>
      </c>
      <c r="C6" s="1" t="s">
        <v>12</v>
      </c>
      <c r="D6" s="3" t="s">
        <v>13</v>
      </c>
      <c r="E6" s="2" t="s">
        <v>14</v>
      </c>
      <c r="F6" s="2" t="s">
        <v>14</v>
      </c>
      <c r="G6" s="4">
        <v>1856127.49</v>
      </c>
      <c r="H6" s="4">
        <v>0</v>
      </c>
      <c r="I6" s="5">
        <v>0</v>
      </c>
      <c r="J6" s="4">
        <f>SUM(I6)</f>
        <v>0</v>
      </c>
      <c r="K6" s="74"/>
      <c r="L6" s="6" t="s">
        <v>5</v>
      </c>
      <c r="M6" s="86"/>
    </row>
    <row r="7" spans="1:13">
      <c r="A7" s="1">
        <v>6</v>
      </c>
      <c r="B7">
        <v>20</v>
      </c>
      <c r="C7" s="1" t="s">
        <v>12</v>
      </c>
      <c r="D7" s="9" t="s">
        <v>16</v>
      </c>
      <c r="E7" s="8">
        <v>41389</v>
      </c>
      <c r="F7" s="8">
        <v>41389</v>
      </c>
      <c r="G7" s="4">
        <v>2246991.8199999998</v>
      </c>
      <c r="H7" s="4">
        <v>0</v>
      </c>
      <c r="I7" s="5">
        <f>2408515-2408515</f>
        <v>0</v>
      </c>
      <c r="J7" s="4">
        <f>SUM(I7)</f>
        <v>0</v>
      </c>
      <c r="K7" s="74"/>
      <c r="L7" s="6" t="s">
        <v>17</v>
      </c>
      <c r="M7" s="45"/>
    </row>
    <row r="8" spans="1:13">
      <c r="A8" s="1">
        <v>7</v>
      </c>
      <c r="B8">
        <v>36</v>
      </c>
      <c r="C8" s="1" t="s">
        <v>12</v>
      </c>
      <c r="D8" s="9" t="s">
        <v>19</v>
      </c>
      <c r="E8" s="8">
        <v>40878</v>
      </c>
      <c r="F8" s="8">
        <v>40878</v>
      </c>
      <c r="G8" s="4">
        <v>4084773</v>
      </c>
      <c r="H8" s="4">
        <v>0</v>
      </c>
      <c r="I8" s="5">
        <v>0</v>
      </c>
      <c r="J8" s="4"/>
      <c r="K8" s="74"/>
      <c r="L8" s="6" t="s">
        <v>20</v>
      </c>
      <c r="M8" s="86"/>
    </row>
    <row r="9" spans="1:13">
      <c r="A9" s="1">
        <v>8</v>
      </c>
      <c r="B9">
        <v>36</v>
      </c>
      <c r="C9" s="1" t="s">
        <v>12</v>
      </c>
      <c r="D9" s="2" t="s">
        <v>21</v>
      </c>
      <c r="E9" s="8">
        <v>40885</v>
      </c>
      <c r="F9" s="8">
        <v>40885</v>
      </c>
      <c r="G9" s="4">
        <v>3192101</v>
      </c>
      <c r="H9" s="4">
        <v>0</v>
      </c>
      <c r="I9" s="5">
        <v>0</v>
      </c>
      <c r="J9" s="4"/>
      <c r="K9" s="74"/>
      <c r="L9" s="6" t="s">
        <v>20</v>
      </c>
      <c r="M9" s="45"/>
    </row>
    <row r="10" spans="1:13">
      <c r="A10" s="1">
        <v>9</v>
      </c>
      <c r="B10">
        <v>36</v>
      </c>
      <c r="C10" s="1" t="s">
        <v>12</v>
      </c>
      <c r="D10" s="2" t="s">
        <v>22</v>
      </c>
      <c r="E10" s="8">
        <v>40888</v>
      </c>
      <c r="F10" s="8">
        <v>40888</v>
      </c>
      <c r="G10" s="4">
        <v>8219028</v>
      </c>
      <c r="H10" s="4">
        <v>0</v>
      </c>
      <c r="I10" s="5">
        <v>1</v>
      </c>
      <c r="J10" s="4">
        <f>SUM(I8:I10)</f>
        <v>1</v>
      </c>
      <c r="K10" s="74"/>
      <c r="L10" s="6" t="s">
        <v>20</v>
      </c>
      <c r="M10" s="45"/>
    </row>
    <row r="11" spans="1:13" ht="25.5">
      <c r="A11" s="1">
        <v>10</v>
      </c>
      <c r="B11">
        <v>12</v>
      </c>
      <c r="C11" s="10"/>
      <c r="D11" s="11" t="s">
        <v>24</v>
      </c>
      <c r="E11" s="12">
        <v>38242</v>
      </c>
      <c r="F11" s="12">
        <v>38242</v>
      </c>
      <c r="G11" s="13">
        <v>166115.98000000001</v>
      </c>
      <c r="H11" s="13">
        <v>0</v>
      </c>
      <c r="I11" s="14">
        <f>172939.98-172939.98</f>
        <v>0</v>
      </c>
      <c r="J11" s="13">
        <f>SUM(I11)</f>
        <v>0</v>
      </c>
      <c r="K11" s="75"/>
      <c r="L11" s="11" t="s">
        <v>17</v>
      </c>
      <c r="M11" s="10" t="s">
        <v>25</v>
      </c>
    </row>
    <row r="12" spans="1:13">
      <c r="A12" s="1">
        <v>11</v>
      </c>
      <c r="B12">
        <v>43</v>
      </c>
      <c r="C12" s="15" t="s">
        <v>0</v>
      </c>
      <c r="D12" s="16" t="s">
        <v>27</v>
      </c>
      <c r="E12" s="17">
        <v>41751</v>
      </c>
      <c r="F12" s="17">
        <v>41751</v>
      </c>
      <c r="G12" s="18">
        <v>180318658.93000001</v>
      </c>
      <c r="H12" s="18">
        <v>0</v>
      </c>
      <c r="I12" s="19">
        <f>193530985+7913266.94+10000-500000-5000000-5000000-100000-2000000-2000000-10000000-5000000-5000000-100000000-5000000-5000000</f>
        <v>56854251.939999998</v>
      </c>
      <c r="J12" s="18">
        <f>SUM(I12)</f>
        <v>56854251.939999998</v>
      </c>
      <c r="K12" s="76"/>
      <c r="L12" s="20" t="s">
        <v>28</v>
      </c>
      <c r="M12" s="15"/>
    </row>
    <row r="13" spans="1:13">
      <c r="A13" s="1">
        <v>12</v>
      </c>
      <c r="B13">
        <v>51</v>
      </c>
      <c r="C13" s="1" t="s">
        <v>12</v>
      </c>
      <c r="D13" s="9" t="s">
        <v>30</v>
      </c>
      <c r="E13" s="8">
        <v>41963</v>
      </c>
      <c r="F13" s="8">
        <v>41963</v>
      </c>
      <c r="G13" s="4">
        <f>14701895+24264386+5066330</f>
        <v>44032611</v>
      </c>
      <c r="H13" s="4">
        <v>0</v>
      </c>
      <c r="I13" s="5">
        <f>44032611+823155.41+5000+1682278.41+4598898-0.99</f>
        <v>51141941.829999991</v>
      </c>
      <c r="J13" s="4">
        <f>I13</f>
        <v>51141941.829999991</v>
      </c>
      <c r="K13" s="74"/>
      <c r="L13" s="6" t="s">
        <v>17</v>
      </c>
      <c r="M13" s="45"/>
    </row>
    <row r="14" spans="1:13">
      <c r="A14" s="1">
        <v>13</v>
      </c>
      <c r="B14">
        <v>15</v>
      </c>
      <c r="C14" s="21" t="s">
        <v>12</v>
      </c>
      <c r="D14" s="22" t="s">
        <v>32</v>
      </c>
      <c r="E14" s="17">
        <v>42439</v>
      </c>
      <c r="F14" s="17">
        <v>42439</v>
      </c>
      <c r="G14" s="18">
        <v>12987405.810000001</v>
      </c>
      <c r="H14" s="18"/>
      <c r="I14" s="19">
        <f>6098520-200000+814385-1100000+318574+398448+3043883</f>
        <v>9373810</v>
      </c>
      <c r="J14" s="23">
        <f>I14</f>
        <v>9373810</v>
      </c>
      <c r="K14" s="76"/>
      <c r="L14" s="20" t="s">
        <v>17</v>
      </c>
      <c r="M14" s="87" t="s">
        <v>33</v>
      </c>
    </row>
    <row r="15" spans="1:13" ht="25.5">
      <c r="A15" s="1">
        <v>14</v>
      </c>
      <c r="B15">
        <v>35</v>
      </c>
      <c r="C15" s="10" t="s">
        <v>12</v>
      </c>
      <c r="D15" s="24" t="s">
        <v>35</v>
      </c>
      <c r="E15" s="12">
        <v>42698</v>
      </c>
      <c r="F15" s="12">
        <v>42698</v>
      </c>
      <c r="G15" s="25">
        <v>6075029.5999999996</v>
      </c>
      <c r="H15" s="13"/>
      <c r="I15" s="14">
        <f>6075029.6+89776.4-100000+17200+6800-100000-300000+2592194-8281000</f>
        <v>0</v>
      </c>
      <c r="J15" s="26">
        <f>I15</f>
        <v>0</v>
      </c>
      <c r="K15" s="75" t="s">
        <v>36</v>
      </c>
      <c r="L15" s="27" t="s">
        <v>17</v>
      </c>
      <c r="M15" s="77" t="s">
        <v>37</v>
      </c>
    </row>
    <row r="16" spans="1:13">
      <c r="A16" s="1">
        <v>16</v>
      </c>
      <c r="B16">
        <v>11</v>
      </c>
      <c r="C16" s="1" t="s">
        <v>39</v>
      </c>
      <c r="D16" s="9" t="s">
        <v>40</v>
      </c>
      <c r="E16" s="8" t="s">
        <v>41</v>
      </c>
      <c r="F16" s="8" t="s">
        <v>41</v>
      </c>
      <c r="G16" s="4">
        <f>493796304.94+2557568</f>
        <v>496353872.94</v>
      </c>
      <c r="H16" s="4"/>
      <c r="I16" s="5">
        <f>493796304.94+2557568-2557568-109298405-218661599-50000000+8583540-3400000-3300000-5000000-1000000-20000000-5000000-3000000-2400000-5000000-3000000-4500000-8000000-39298405+3223896.04-3000000-4349066-4349066-8698132-4349066-226152.98+226150</f>
        <v>-1.0000000032887328</v>
      </c>
      <c r="J16" s="28">
        <f>I16</f>
        <v>-1.0000000032887328</v>
      </c>
      <c r="K16" s="74"/>
      <c r="L16" s="6" t="s">
        <v>42</v>
      </c>
      <c r="M16" s="77" t="s">
        <v>43</v>
      </c>
    </row>
    <row r="17" spans="1:13">
      <c r="A17" s="1">
        <v>17</v>
      </c>
      <c r="B17">
        <v>39</v>
      </c>
      <c r="C17" s="1" t="s">
        <v>45</v>
      </c>
      <c r="D17" s="29" t="s">
        <v>46</v>
      </c>
      <c r="E17" s="30">
        <v>43240</v>
      </c>
      <c r="F17" s="30">
        <v>43240</v>
      </c>
      <c r="G17" s="31">
        <v>23744881</v>
      </c>
      <c r="H17" s="31"/>
      <c r="I17" s="32">
        <f>23744881+342982-2643758+712689-300000-356372-360102-252430+505031+981822-144858-500000-800000-785614-300000-100000-1805911-300000-250000-100000-100000-300000-428739.42-736694-150000-425060-33482-193320-200000-992532-323523-16469-183362-126118</f>
        <v>13079060.58</v>
      </c>
      <c r="J17" s="31"/>
      <c r="K17" s="78"/>
      <c r="L17" s="33" t="s">
        <v>47</v>
      </c>
      <c r="M17" s="46" t="s">
        <v>49</v>
      </c>
    </row>
    <row r="18" spans="1:13">
      <c r="A18" s="1">
        <v>18</v>
      </c>
      <c r="B18">
        <v>39</v>
      </c>
      <c r="C18" s="34" t="s">
        <v>51</v>
      </c>
      <c r="D18" s="35" t="s">
        <v>52</v>
      </c>
      <c r="E18" s="8">
        <v>43468</v>
      </c>
      <c r="F18" s="8">
        <v>43473</v>
      </c>
      <c r="G18" s="4">
        <v>21866000</v>
      </c>
      <c r="H18" s="4"/>
      <c r="I18" s="5">
        <f>21866000+481052-1580923-500000+508396+477815+488805+494615+511425-747457-126118+2558390</f>
        <v>24432000</v>
      </c>
      <c r="J18" s="28">
        <f>I18</f>
        <v>24432000</v>
      </c>
      <c r="K18" s="74"/>
      <c r="L18" s="36" t="s">
        <v>53</v>
      </c>
      <c r="M18" s="45" t="s">
        <v>54</v>
      </c>
    </row>
    <row r="19" spans="1:13">
      <c r="A19" s="1">
        <v>19</v>
      </c>
      <c r="B19">
        <v>39</v>
      </c>
      <c r="C19" s="34" t="s">
        <v>56</v>
      </c>
      <c r="D19" s="35" t="s">
        <v>57</v>
      </c>
      <c r="E19" s="8">
        <v>43562</v>
      </c>
      <c r="F19" s="8">
        <v>43562</v>
      </c>
      <c r="G19" s="4">
        <v>24182500</v>
      </c>
      <c r="H19" s="4"/>
      <c r="I19" s="5">
        <f>24182500+513878+568017+581082+587985+607970+621955-49196-103363+2516657</f>
        <v>30027485</v>
      </c>
      <c r="J19" s="28">
        <f>I19</f>
        <v>30027485</v>
      </c>
      <c r="K19" s="74"/>
      <c r="L19" s="36" t="s">
        <v>53</v>
      </c>
      <c r="M19" s="46" t="s">
        <v>58</v>
      </c>
    </row>
    <row r="20" spans="1:13">
      <c r="A20" s="1">
        <v>20</v>
      </c>
      <c r="B20">
        <v>39</v>
      </c>
      <c r="C20" s="34" t="s">
        <v>59</v>
      </c>
      <c r="D20" s="37" t="s">
        <v>60</v>
      </c>
      <c r="E20" s="38">
        <v>43723</v>
      </c>
      <c r="F20" s="38">
        <v>43723</v>
      </c>
      <c r="G20" s="39">
        <v>25397442</v>
      </c>
      <c r="H20" s="4"/>
      <c r="I20" s="39">
        <f>25397442+101590-500000-500000-500000+567478+558890+577862-700000+586101</f>
        <v>25589363</v>
      </c>
      <c r="J20" s="39">
        <f>I20</f>
        <v>25589363</v>
      </c>
      <c r="K20" s="79"/>
      <c r="L20" s="40"/>
      <c r="M20" s="88" t="s">
        <v>61</v>
      </c>
    </row>
    <row r="21" spans="1:13" ht="25.5">
      <c r="A21" s="1">
        <v>21</v>
      </c>
      <c r="B21">
        <v>10</v>
      </c>
      <c r="C21" s="15" t="s">
        <v>12</v>
      </c>
      <c r="D21" s="22" t="s">
        <v>63</v>
      </c>
      <c r="E21" s="17">
        <v>43281</v>
      </c>
      <c r="F21" s="17">
        <v>43281</v>
      </c>
      <c r="G21" s="18">
        <v>1091718171</v>
      </c>
      <c r="H21" s="18"/>
      <c r="I21" s="19">
        <f>1091718171-13544000+389341-1349000+32232344-5040000+25517277-20000000+25258293-50000000-150000000+24000400+22061205+22568613+95048724</f>
        <v>1098861368</v>
      </c>
      <c r="J21" s="23"/>
      <c r="K21" s="76"/>
      <c r="L21" s="41" t="s">
        <v>64</v>
      </c>
      <c r="M21" s="87" t="s">
        <v>65</v>
      </c>
    </row>
    <row r="22" spans="1:13" ht="25.5">
      <c r="A22" s="1">
        <v>22</v>
      </c>
      <c r="B22">
        <v>10</v>
      </c>
      <c r="C22" s="15" t="s">
        <v>12</v>
      </c>
      <c r="D22" s="22" t="s">
        <v>66</v>
      </c>
      <c r="E22" s="17">
        <v>43360</v>
      </c>
      <c r="F22" s="17">
        <v>43360</v>
      </c>
      <c r="G22" s="18">
        <f>880591431+14016051</f>
        <v>894607482</v>
      </c>
      <c r="H22" s="18"/>
      <c r="I22" s="19">
        <f>894607482+3131126+2064793-350000000+18583195+40802093+14011341+14333601+60366602</f>
        <v>697900233</v>
      </c>
      <c r="J22" s="23"/>
      <c r="K22" s="76"/>
      <c r="L22" s="41" t="s">
        <v>64</v>
      </c>
      <c r="M22" s="87" t="s">
        <v>67</v>
      </c>
    </row>
    <row r="23" spans="1:13" ht="25.5">
      <c r="A23" s="1">
        <v>23</v>
      </c>
      <c r="B23">
        <v>10</v>
      </c>
      <c r="C23" s="15" t="s">
        <v>12</v>
      </c>
      <c r="D23" s="22" t="s">
        <v>68</v>
      </c>
      <c r="E23" s="17">
        <v>43373</v>
      </c>
      <c r="F23" s="17">
        <v>43373</v>
      </c>
      <c r="G23" s="18">
        <v>1473381001.8</v>
      </c>
      <c r="H23" s="18"/>
      <c r="I23" s="19">
        <f>1473381001.8+34264580.2+68992689+36262681+37096722</f>
        <v>1649997674</v>
      </c>
      <c r="J23" s="23">
        <f>I23+I22+I21</f>
        <v>3446759275</v>
      </c>
      <c r="K23" s="76"/>
      <c r="L23" s="41" t="s">
        <v>64</v>
      </c>
      <c r="M23" s="87" t="s">
        <v>69</v>
      </c>
    </row>
    <row r="24" spans="1:13">
      <c r="A24" s="1">
        <v>24</v>
      </c>
      <c r="B24">
        <v>28</v>
      </c>
      <c r="C24" s="1" t="s">
        <v>12</v>
      </c>
      <c r="D24" s="9" t="s">
        <v>72</v>
      </c>
      <c r="E24" s="8">
        <v>43461</v>
      </c>
      <c r="F24" s="8">
        <v>43461</v>
      </c>
      <c r="G24" s="4">
        <v>3453437</v>
      </c>
      <c r="H24" s="4"/>
      <c r="I24" s="5">
        <f>3453437+82116+250090-600000-100000-84200-168400+71770-200000-1000000-2170000+465187</f>
        <v>0</v>
      </c>
      <c r="J24" s="28">
        <f>I24</f>
        <v>0</v>
      </c>
      <c r="K24" s="74"/>
      <c r="L24" s="36" t="s">
        <v>73</v>
      </c>
      <c r="M24" s="46" t="s">
        <v>74</v>
      </c>
    </row>
    <row r="25" spans="1:13">
      <c r="A25" s="1">
        <v>25</v>
      </c>
      <c r="B25">
        <v>14</v>
      </c>
      <c r="C25" s="42" t="s">
        <v>12</v>
      </c>
      <c r="D25" s="35" t="s">
        <v>76</v>
      </c>
      <c r="E25" s="8">
        <v>43479</v>
      </c>
      <c r="F25" s="8">
        <v>43479</v>
      </c>
      <c r="G25" s="4">
        <v>72038002.549999997</v>
      </c>
      <c r="H25" s="4"/>
      <c r="I25" s="5">
        <f>72038002.55+1386732-6000000-6000000-6000000+1629913.45-6000000-6000000-10000000-10000000-10000000-15428981+374333</f>
        <v>0</v>
      </c>
      <c r="J25" s="28">
        <f>I25</f>
        <v>0</v>
      </c>
      <c r="K25" s="74"/>
      <c r="L25" s="36" t="s">
        <v>53</v>
      </c>
      <c r="M25" s="46" t="s">
        <v>77</v>
      </c>
    </row>
    <row r="26" spans="1:13">
      <c r="A26" s="1">
        <v>26</v>
      </c>
      <c r="B26">
        <v>37</v>
      </c>
      <c r="C26" s="1" t="s">
        <v>12</v>
      </c>
      <c r="D26" s="35" t="s">
        <v>79</v>
      </c>
      <c r="E26" s="8">
        <v>43601</v>
      </c>
      <c r="F26" s="8">
        <v>43601</v>
      </c>
      <c r="G26" s="4">
        <f>31929888.92+19008018.12</f>
        <v>50937907.040000007</v>
      </c>
      <c r="H26" s="4"/>
      <c r="I26" s="5">
        <f>50937907.04+587495.96-1050000+1173797+1187932+1202045+1242905+1271488+19333672.18</f>
        <v>75887242.180000007</v>
      </c>
      <c r="J26" s="28">
        <f>I26</f>
        <v>75887242.180000007</v>
      </c>
      <c r="K26" s="74"/>
      <c r="L26" s="36" t="s">
        <v>53</v>
      </c>
      <c r="M26" s="45"/>
    </row>
    <row r="27" spans="1:13">
      <c r="A27" s="1">
        <v>28</v>
      </c>
      <c r="B27">
        <v>28</v>
      </c>
      <c r="C27" s="1"/>
      <c r="D27" s="2"/>
      <c r="E27" s="8"/>
      <c r="F27" s="8"/>
      <c r="G27" s="4"/>
      <c r="H27" s="4"/>
      <c r="I27" s="5">
        <v>0</v>
      </c>
      <c r="J27" s="43"/>
      <c r="K27" s="80"/>
      <c r="L27" s="6">
        <v>0</v>
      </c>
      <c r="M27" s="46" t="s">
        <v>80</v>
      </c>
    </row>
    <row r="28" spans="1:13">
      <c r="A28" s="1">
        <v>29</v>
      </c>
      <c r="B28">
        <v>37</v>
      </c>
      <c r="C28" s="1" t="s">
        <v>2</v>
      </c>
      <c r="D28" s="2">
        <v>1919</v>
      </c>
      <c r="E28" s="8">
        <v>40106</v>
      </c>
      <c r="F28" s="8"/>
      <c r="G28" s="44">
        <v>723280</v>
      </c>
      <c r="H28" s="89"/>
      <c r="I28" s="5">
        <v>0</v>
      </c>
      <c r="J28" s="4">
        <f>I28</f>
        <v>0</v>
      </c>
      <c r="K28" s="74"/>
      <c r="L28" s="6"/>
      <c r="M28" s="45"/>
    </row>
    <row r="29" spans="1:13">
      <c r="A29" s="1">
        <v>30</v>
      </c>
      <c r="B29">
        <v>37</v>
      </c>
      <c r="C29" s="1" t="s">
        <v>2</v>
      </c>
      <c r="D29" s="2">
        <v>1919</v>
      </c>
      <c r="E29" s="8">
        <v>40106</v>
      </c>
      <c r="F29" s="8"/>
      <c r="G29" s="4">
        <v>46314964.82</v>
      </c>
      <c r="H29" s="4"/>
      <c r="I29" s="5">
        <f>G29-563228.02+875761+1060780-723280+1084920+1097195+1130385+723280+18198592.71</f>
        <v>69199370.50999999</v>
      </c>
      <c r="J29" s="4">
        <f>I29</f>
        <v>69199370.50999999</v>
      </c>
      <c r="K29" s="74">
        <f>J28+J29</f>
        <v>69199370.50999999</v>
      </c>
      <c r="L29" s="6" t="s">
        <v>83</v>
      </c>
      <c r="M29" s="45"/>
    </row>
    <row r="30" spans="1:13">
      <c r="A30" s="1">
        <v>32</v>
      </c>
      <c r="B30">
        <v>39</v>
      </c>
      <c r="C30" s="1" t="s">
        <v>87</v>
      </c>
      <c r="D30" s="2" t="s">
        <v>84</v>
      </c>
      <c r="E30" s="8">
        <v>43801</v>
      </c>
      <c r="F30" s="8">
        <v>43801</v>
      </c>
      <c r="G30" s="4">
        <v>34868700.420000002</v>
      </c>
      <c r="H30" s="4"/>
      <c r="I30" s="4">
        <f>G30+261516.58+799215-554011-544933+817400-353871+1097531-900000-804828+882720+544933-115373-195740</f>
        <v>35803260</v>
      </c>
      <c r="J30" s="4">
        <f>I30</f>
        <v>35803260</v>
      </c>
      <c r="K30" s="75" t="e">
        <f>#REF!+J30</f>
        <v>#REF!</v>
      </c>
      <c r="L30" s="6" t="s">
        <v>85</v>
      </c>
      <c r="M30" s="6" t="s">
        <v>85</v>
      </c>
    </row>
    <row r="31" spans="1:13">
      <c r="A31" s="1">
        <v>33</v>
      </c>
      <c r="B31">
        <v>40</v>
      </c>
      <c r="C31" s="1" t="s">
        <v>12</v>
      </c>
      <c r="D31" s="9" t="s">
        <v>189</v>
      </c>
      <c r="E31" s="8">
        <v>43828</v>
      </c>
      <c r="F31" s="8">
        <v>43828</v>
      </c>
      <c r="G31" s="47">
        <v>95946843.159999996</v>
      </c>
      <c r="H31" s="44"/>
      <c r="I31" s="4">
        <f>G31+71961.87-10648.02-15015447-10000000-10656433-6500000-332000-196557+1597490-1000000-600000-500000-4162127-6200000-550000-400000-1000000-1350000-752000-2000000-2000000-500000-500000-3500000-29800000-682446.01+790460+591363-790460</f>
        <v>5.3551048040390015E-9</v>
      </c>
      <c r="J31" s="4">
        <f>I31</f>
        <v>5.3551048040390015E-9</v>
      </c>
      <c r="K31" s="74"/>
      <c r="L31" s="27"/>
      <c r="M31" s="46" t="s">
        <v>89</v>
      </c>
    </row>
    <row r="32" spans="1:13">
      <c r="A32" s="1">
        <v>34</v>
      </c>
      <c r="B32">
        <v>7</v>
      </c>
      <c r="C32" s="1" t="s">
        <v>12</v>
      </c>
      <c r="D32" s="9" t="s">
        <v>190</v>
      </c>
      <c r="E32" s="8">
        <v>43829</v>
      </c>
      <c r="F32" s="8">
        <v>43829</v>
      </c>
      <c r="G32" s="48">
        <v>53236054.840000004</v>
      </c>
      <c r="H32" s="48"/>
      <c r="I32" s="4">
        <f>G32+26620.16-5247877-35000000-6968559-511756-5710743+176260</f>
        <v>0</v>
      </c>
      <c r="J32" s="4">
        <f>I32</f>
        <v>0</v>
      </c>
      <c r="K32" s="74"/>
      <c r="L32" s="27"/>
      <c r="M32" s="46" t="s">
        <v>91</v>
      </c>
    </row>
    <row r="33" spans="1:13">
      <c r="A33" s="1">
        <v>35</v>
      </c>
      <c r="B33">
        <v>18</v>
      </c>
      <c r="C33" s="1" t="s">
        <v>12</v>
      </c>
      <c r="D33" s="9" t="s">
        <v>191</v>
      </c>
      <c r="E33" s="8">
        <v>43829</v>
      </c>
      <c r="F33" s="8">
        <v>43829</v>
      </c>
      <c r="G33" s="48">
        <v>113057364.66</v>
      </c>
      <c r="H33" s="44"/>
      <c r="I33" s="4">
        <v>0</v>
      </c>
      <c r="J33" s="4">
        <v>0</v>
      </c>
      <c r="K33" s="74"/>
      <c r="L33" s="27"/>
      <c r="M33" s="46" t="s">
        <v>93</v>
      </c>
    </row>
    <row r="34" spans="1:13">
      <c r="A34" s="1">
        <v>36</v>
      </c>
      <c r="B34">
        <v>18</v>
      </c>
      <c r="C34" s="1" t="s">
        <v>12</v>
      </c>
      <c r="D34" s="9" t="s">
        <v>191</v>
      </c>
      <c r="E34" s="8">
        <v>43829</v>
      </c>
      <c r="F34" s="8">
        <v>43829</v>
      </c>
      <c r="G34" s="48">
        <v>113057364.66</v>
      </c>
      <c r="H34" s="44"/>
      <c r="I34" s="4">
        <f>1512074 -1512074</f>
        <v>0</v>
      </c>
      <c r="J34" s="4">
        <f>I34</f>
        <v>0</v>
      </c>
      <c r="K34" s="74">
        <f>J33+J34</f>
        <v>0</v>
      </c>
      <c r="L34" s="27" t="s">
        <v>83</v>
      </c>
      <c r="M34" s="46" t="s">
        <v>93</v>
      </c>
    </row>
    <row r="35" spans="1:13">
      <c r="A35" s="1">
        <v>37</v>
      </c>
      <c r="B35">
        <v>22</v>
      </c>
      <c r="C35" s="1" t="s">
        <v>96</v>
      </c>
      <c r="D35" s="9" t="s">
        <v>97</v>
      </c>
      <c r="E35" s="8">
        <v>43894</v>
      </c>
      <c r="F35" s="8">
        <v>43894</v>
      </c>
      <c r="G35" s="44">
        <v>2333690</v>
      </c>
      <c r="H35" s="89"/>
      <c r="I35" s="44">
        <v>0</v>
      </c>
      <c r="J35" s="44">
        <v>0</v>
      </c>
      <c r="K35" s="79"/>
      <c r="L35" s="81"/>
      <c r="M35" s="46" t="s">
        <v>98</v>
      </c>
    </row>
    <row r="36" spans="1:13">
      <c r="A36" s="1">
        <v>38</v>
      </c>
      <c r="B36">
        <v>22</v>
      </c>
      <c r="C36" s="1" t="s">
        <v>100</v>
      </c>
      <c r="D36" s="9" t="s">
        <v>97</v>
      </c>
      <c r="E36" s="8">
        <v>43894</v>
      </c>
      <c r="F36" s="8">
        <v>43894</v>
      </c>
      <c r="G36" s="48">
        <f>152800000</f>
        <v>152800000</v>
      </c>
      <c r="H36" s="44"/>
      <c r="I36" s="48">
        <f>G36+1069600-2333690+3500535+3540170-350000+3647265+3642170+2333690+11470243+19826125</f>
        <v>199146108</v>
      </c>
      <c r="J36" s="48">
        <f>I36</f>
        <v>199146108</v>
      </c>
      <c r="K36" s="82"/>
      <c r="L36" s="27" t="s">
        <v>83</v>
      </c>
      <c r="M36" s="46" t="s">
        <v>98</v>
      </c>
    </row>
    <row r="37" spans="1:13" ht="25.5">
      <c r="A37" s="1">
        <v>39</v>
      </c>
      <c r="B37">
        <v>2</v>
      </c>
      <c r="C37" s="49" t="s">
        <v>102</v>
      </c>
      <c r="D37" s="9" t="s">
        <v>192</v>
      </c>
      <c r="E37" s="8">
        <v>43942</v>
      </c>
      <c r="F37" s="8">
        <v>43942</v>
      </c>
      <c r="G37" s="42">
        <v>25379500</v>
      </c>
      <c r="H37" s="44"/>
      <c r="I37" s="48">
        <f>G37-800000-500000-500000-350000-66690-163257-225625+3364-71028-2800000-2150000-150000-10000-86500-4730000-2500000-200000-109272-168114-200000-500000-500000-500000-1050000-800000-200000-650000-700000-90000-34532-1006061+424765-1400000+248491-500000-200000-2300000+154959</f>
        <v>0</v>
      </c>
      <c r="J37" s="48">
        <f>I37</f>
        <v>0</v>
      </c>
      <c r="K37" s="79"/>
      <c r="L37" s="27"/>
      <c r="M37" s="46" t="s">
        <v>103</v>
      </c>
    </row>
    <row r="38" spans="1:13">
      <c r="A38" s="1">
        <v>40</v>
      </c>
      <c r="B38">
        <v>33</v>
      </c>
      <c r="C38" s="49" t="s">
        <v>96</v>
      </c>
      <c r="D38" s="9" t="s">
        <v>105</v>
      </c>
      <c r="E38" s="8">
        <v>44094</v>
      </c>
      <c r="F38" s="8">
        <v>44094</v>
      </c>
      <c r="G38" s="48">
        <f>40060395.58</f>
        <v>40060395.579999998</v>
      </c>
      <c r="H38" s="89"/>
      <c r="I38" s="50">
        <f>G38+110170-1000000-6025500+896830-5000000-29659754.44 +617858.86</f>
        <v>-3.14321368932724E-9</v>
      </c>
      <c r="J38" s="50">
        <f>I38</f>
        <v>-3.14321368932724E-9</v>
      </c>
      <c r="K38" s="79"/>
      <c r="L38" s="27"/>
      <c r="M38" s="46"/>
    </row>
    <row r="39" spans="1:13" ht="25.5">
      <c r="A39" s="1">
        <v>41</v>
      </c>
      <c r="B39">
        <v>32</v>
      </c>
      <c r="C39" s="51" t="s">
        <v>70</v>
      </c>
      <c r="D39" s="52" t="s">
        <v>193</v>
      </c>
      <c r="E39" s="17" t="s">
        <v>262</v>
      </c>
      <c r="F39" s="17" t="s">
        <v>263</v>
      </c>
      <c r="G39" s="53">
        <f>20279765.21 +31188209.15+284019609.42</f>
        <v>335487583.78000003</v>
      </c>
      <c r="H39" s="54"/>
      <c r="I39" s="53">
        <f>G39+6554875+2720160.68+4975880.54-2686556-486951-2355114-1043563-10100000-50023-708880-4700000-297965-4000000-4000000+10345110+5159510-200000-500000-1000000-3000000</f>
        <v>330114068.00000006</v>
      </c>
      <c r="J39" s="53">
        <f>96646439-1700000-3300000+2145432-440000-3000000-5200000+2041000+1983700-6000000-2861580+1886600+1890640-3400000+1827500-82519731</f>
        <v>0</v>
      </c>
      <c r="K39" s="59" t="s">
        <v>48</v>
      </c>
      <c r="L39" s="55"/>
      <c r="M39" s="87"/>
    </row>
    <row r="40" spans="1:13">
      <c r="A40" s="1">
        <v>42</v>
      </c>
      <c r="B40">
        <v>22</v>
      </c>
      <c r="C40" s="49" t="s">
        <v>108</v>
      </c>
      <c r="D40" s="9" t="s">
        <v>194</v>
      </c>
      <c r="E40" s="8" t="s">
        <v>264</v>
      </c>
      <c r="F40" s="8" t="s">
        <v>264</v>
      </c>
      <c r="G40" s="90">
        <v>7387760.6200000001</v>
      </c>
      <c r="H40" s="89"/>
      <c r="I40" s="56">
        <f>G40-350000+142137+161550.38+504725+831695</f>
        <v>8677868</v>
      </c>
      <c r="J40" s="56">
        <f>I40</f>
        <v>8677868</v>
      </c>
      <c r="K40" s="79"/>
      <c r="L40" s="27"/>
      <c r="M40" s="46"/>
    </row>
    <row r="41" spans="1:13">
      <c r="A41" s="1">
        <v>43</v>
      </c>
      <c r="B41">
        <v>31</v>
      </c>
      <c r="C41" s="51" t="s">
        <v>110</v>
      </c>
      <c r="D41" s="52" t="s">
        <v>195</v>
      </c>
      <c r="E41" s="17" t="s">
        <v>265</v>
      </c>
      <c r="F41" s="17" t="str">
        <f t="shared" ref="F41:F52" si="0">E41</f>
        <v>:20-10-2020</v>
      </c>
      <c r="G41" s="54">
        <f>29551927.73+320750125.1</f>
        <v>350302052.83000004</v>
      </c>
      <c r="H41" s="54"/>
      <c r="I41" s="53">
        <f>G41-1550000+6407116-4342953-296036-244335+1628930.17+6260360-3099395-4000000+13015800+3270500-1000000-500000-500000-1776000</f>
        <v>363576040.00000006</v>
      </c>
      <c r="J41" s="53">
        <f>67838015-849000+1553624-1776000-2000000+1498000-2170000-1736000+1442700-2342689+1413600+1446070-2100000-500000+1396500-63114820</f>
        <v>0</v>
      </c>
      <c r="K41" s="59" t="s">
        <v>48</v>
      </c>
      <c r="L41" s="55"/>
      <c r="M41" s="87"/>
    </row>
    <row r="42" spans="1:13">
      <c r="A42" s="1">
        <v>44</v>
      </c>
      <c r="B42">
        <v>47</v>
      </c>
      <c r="C42" s="51" t="s">
        <v>110</v>
      </c>
      <c r="D42" s="52" t="s">
        <v>196</v>
      </c>
      <c r="E42" s="17" t="s">
        <v>266</v>
      </c>
      <c r="F42" s="17" t="str">
        <f t="shared" si="0"/>
        <v>:22-10-2020</v>
      </c>
      <c r="G42" s="54">
        <f>119884729.26 +39069413.12+78938136.07+39633273.84 +40229677.21 +33094555.11+29826264.41 +38766182.39</f>
        <v>419442231.40999997</v>
      </c>
      <c r="H42" s="54"/>
      <c r="I42" s="53">
        <f>G42-1489776-797581-1999863-1312171-2467033-491604-636105-343719-1901342-673627-6800000-11425216-3818614-6800000-14008316-5000000-217977-6779458-5688261-2806954-1033910-2253444-10265414-3652100-12487288 +3652100-3651932+6785807-14269453-5472298 -20630705-1200000-1000000-1000000-1000000-746483 -2374846-2098647-5602906-28722658-5439734-1257864-3338604-8520578+8092450.59-10293391-54043300-7807608-7600000-12400000-13753270-1067617-10900000-21400000-3800000-3070116-272973-4765576-6443105-30000000-40384822+1505670</f>
        <v>-2.9802322387695313E-8</v>
      </c>
      <c r="J42" s="53">
        <f>I42</f>
        <v>-2.9802322387695313E-8</v>
      </c>
      <c r="K42" s="59"/>
      <c r="L42" s="55"/>
      <c r="M42" s="87"/>
    </row>
    <row r="43" spans="1:13" ht="25.5">
      <c r="A43" s="1">
        <v>45</v>
      </c>
      <c r="B43">
        <v>16</v>
      </c>
      <c r="C43" s="58" t="s">
        <v>110</v>
      </c>
      <c r="D43" s="52" t="s">
        <v>197</v>
      </c>
      <c r="E43" s="17" t="s">
        <v>267</v>
      </c>
      <c r="F43" s="17" t="str">
        <f t="shared" si="0"/>
        <v>:27-10-2020</v>
      </c>
      <c r="G43" s="59"/>
      <c r="H43" s="54"/>
      <c r="I43" s="53">
        <f>71648569+1182202+1638700+1712800-522070+1743448-316893-54371+13364570</f>
        <v>90396955</v>
      </c>
      <c r="J43" s="53">
        <f>I43 -90396955</f>
        <v>0</v>
      </c>
      <c r="K43" s="66" t="s">
        <v>113</v>
      </c>
      <c r="L43" s="55"/>
      <c r="M43" s="87"/>
    </row>
    <row r="44" spans="1:13">
      <c r="A44" s="1">
        <v>46</v>
      </c>
      <c r="B44">
        <v>30</v>
      </c>
      <c r="C44" s="51" t="s">
        <v>115</v>
      </c>
      <c r="D44" s="52" t="s">
        <v>198</v>
      </c>
      <c r="E44" s="17" t="s">
        <v>268</v>
      </c>
      <c r="F44" s="17" t="str">
        <f t="shared" si="0"/>
        <v>:28-10-2020</v>
      </c>
      <c r="G44" s="57">
        <v>20280549.809999999</v>
      </c>
      <c r="H44" s="54"/>
      <c r="I44" s="53">
        <f>G44+329560-300000+456980.19-50000-100000+1418363-22035453</f>
        <v>0</v>
      </c>
      <c r="J44" s="53">
        <f>I44</f>
        <v>0</v>
      </c>
      <c r="K44" s="59" t="s">
        <v>17</v>
      </c>
      <c r="L44" s="55"/>
      <c r="M44" s="87"/>
    </row>
    <row r="45" spans="1:13" ht="25.5">
      <c r="A45" s="1">
        <v>47</v>
      </c>
      <c r="B45">
        <v>16</v>
      </c>
      <c r="C45" s="51" t="s">
        <v>108</v>
      </c>
      <c r="D45" s="52" t="s">
        <v>199</v>
      </c>
      <c r="E45" s="17" t="s">
        <v>269</v>
      </c>
      <c r="F45" s="17" t="str">
        <f t="shared" si="0"/>
        <v>:20-12-2020</v>
      </c>
      <c r="G45" s="57">
        <f>6545174+10967285 +4977666 +6223636</f>
        <v>28713761</v>
      </c>
      <c r="H45" s="54"/>
      <c r="I45" s="53">
        <f>G45+86196-5100000+563850+1668137+4498572</f>
        <v>30430516</v>
      </c>
      <c r="J45" s="53">
        <f>I45-30430516</f>
        <v>0</v>
      </c>
      <c r="K45" s="66" t="s">
        <v>113</v>
      </c>
      <c r="L45" s="55"/>
      <c r="M45" s="87"/>
    </row>
    <row r="46" spans="1:13">
      <c r="A46" s="1">
        <v>48</v>
      </c>
      <c r="B46">
        <v>6</v>
      </c>
      <c r="C46" s="51" t="s">
        <v>117</v>
      </c>
      <c r="D46" s="52" t="s">
        <v>200</v>
      </c>
      <c r="E46" s="17" t="s">
        <v>270</v>
      </c>
      <c r="F46" s="17" t="str">
        <f t="shared" si="0"/>
        <v>:28-12-2020</v>
      </c>
      <c r="G46" s="57">
        <v>5154000</v>
      </c>
      <c r="H46" s="54"/>
      <c r="I46" s="53">
        <f>5154000+5155+116085-100000-120000-100000+348492+370280</f>
        <v>5674012</v>
      </c>
      <c r="J46" s="53">
        <f t="shared" ref="J46:J57" si="1">I46</f>
        <v>5674012</v>
      </c>
      <c r="K46" s="59" t="s">
        <v>17</v>
      </c>
      <c r="L46" s="55"/>
      <c r="M46" s="87"/>
    </row>
    <row r="47" spans="1:13">
      <c r="A47" s="1">
        <v>49</v>
      </c>
      <c r="B47">
        <v>5</v>
      </c>
      <c r="C47" s="51" t="s">
        <v>119</v>
      </c>
      <c r="D47" s="52" t="s">
        <v>201</v>
      </c>
      <c r="E47" s="17" t="s">
        <v>270</v>
      </c>
      <c r="F47" s="17" t="str">
        <f t="shared" si="0"/>
        <v>:28-12-2020</v>
      </c>
      <c r="G47" s="57">
        <v>7058000</v>
      </c>
      <c r="H47" s="54"/>
      <c r="I47" s="53">
        <f>7058000+7060-411116+150845-100000-420750-600000-156805-152450-120000-122456+402009+386380</f>
        <v>5920717</v>
      </c>
      <c r="J47" s="53">
        <f t="shared" si="1"/>
        <v>5920717</v>
      </c>
      <c r="K47" s="59" t="s">
        <v>48</v>
      </c>
      <c r="L47" s="55" t="s">
        <v>120</v>
      </c>
      <c r="M47" s="87"/>
    </row>
    <row r="48" spans="1:13" ht="25.5">
      <c r="A48" s="1">
        <v>50</v>
      </c>
      <c r="B48">
        <v>29</v>
      </c>
      <c r="C48" s="51" t="s">
        <v>122</v>
      </c>
      <c r="D48" s="52" t="s">
        <v>202</v>
      </c>
      <c r="E48" s="17">
        <v>44195</v>
      </c>
      <c r="F48" s="17">
        <f t="shared" si="0"/>
        <v>44195</v>
      </c>
      <c r="G48" s="57">
        <f>9594948.99</f>
        <v>9594948.9900000002</v>
      </c>
      <c r="H48" s="54"/>
      <c r="I48" s="53">
        <f>G48-909200+215210.01-7220-100000-1163123.2-5215169-185000+510073+191400+52612+29625</f>
        <v>3014156.8</v>
      </c>
      <c r="J48" s="53">
        <f t="shared" si="1"/>
        <v>3014156.8</v>
      </c>
      <c r="K48" s="59" t="s">
        <v>17</v>
      </c>
      <c r="L48" s="55"/>
      <c r="M48" s="87" t="s">
        <v>123</v>
      </c>
    </row>
    <row r="49" spans="1:13">
      <c r="A49" s="1">
        <v>51</v>
      </c>
      <c r="B49">
        <v>42</v>
      </c>
      <c r="C49" s="51" t="s">
        <v>125</v>
      </c>
      <c r="D49" s="52" t="s">
        <v>203</v>
      </c>
      <c r="E49" s="17">
        <v>44195</v>
      </c>
      <c r="F49" s="17">
        <f t="shared" si="0"/>
        <v>44195</v>
      </c>
      <c r="G49" s="57">
        <f>74675250+74675250</f>
        <v>149350500</v>
      </c>
      <c r="H49" s="54"/>
      <c r="I49" s="53">
        <f>G49+3360390-3050000+10357812-4950000+7241000</f>
        <v>162309702</v>
      </c>
      <c r="J49" s="53">
        <f t="shared" si="1"/>
        <v>162309702</v>
      </c>
      <c r="K49" s="59"/>
      <c r="L49" s="55"/>
      <c r="M49" s="87"/>
    </row>
    <row r="50" spans="1:13">
      <c r="A50" s="1">
        <v>52</v>
      </c>
      <c r="B50">
        <v>52</v>
      </c>
      <c r="C50" s="51" t="s">
        <v>108</v>
      </c>
      <c r="D50" s="52" t="s">
        <v>204</v>
      </c>
      <c r="E50" s="17" t="s">
        <v>271</v>
      </c>
      <c r="F50" s="17" t="str">
        <f t="shared" si="0"/>
        <v>:28-01-2021</v>
      </c>
      <c r="G50" s="57">
        <f>43113306.83 +45434955.66 +10249612.61 +18659036.18</f>
        <v>117456911.28</v>
      </c>
      <c r="H50" s="54"/>
      <c r="I50" s="53">
        <f>G50+32962177.45 +31560384.7 +48717687.94 +58952448.31 +66640761.26 +53682449.67 +12893279.11 +4495300.17 +23156893.11+18297406.32+6944650.68+32690068-95400000+10891600-54400000-18100000+8381000-359823018</f>
        <v>0</v>
      </c>
      <c r="J50" s="53">
        <f t="shared" si="1"/>
        <v>0</v>
      </c>
      <c r="K50" s="59" t="s">
        <v>127</v>
      </c>
      <c r="L50" s="55"/>
      <c r="M50" s="87"/>
    </row>
    <row r="51" spans="1:13">
      <c r="A51" s="1">
        <v>53</v>
      </c>
      <c r="B51">
        <v>26</v>
      </c>
      <c r="C51" s="51" t="s">
        <v>108</v>
      </c>
      <c r="D51" s="52" t="s">
        <v>205</v>
      </c>
      <c r="E51" s="17" t="s">
        <v>271</v>
      </c>
      <c r="F51" s="17" t="str">
        <f t="shared" si="0"/>
        <v>:28-01-2021</v>
      </c>
      <c r="G51" s="57">
        <f>34866622.73</f>
        <v>34866622.729999997</v>
      </c>
      <c r="H51" s="54"/>
      <c r="I51" s="53">
        <f>G51+19742577.08+10366461.92 +26710667.37+27029362.26-118715691.36</f>
        <v>0</v>
      </c>
      <c r="J51" s="53">
        <f t="shared" si="1"/>
        <v>0</v>
      </c>
      <c r="K51" s="59"/>
      <c r="L51" s="55"/>
      <c r="M51" s="87"/>
    </row>
    <row r="52" spans="1:13">
      <c r="A52" s="1">
        <v>54</v>
      </c>
      <c r="B52">
        <v>29</v>
      </c>
      <c r="C52" s="51" t="s">
        <v>70</v>
      </c>
      <c r="D52" s="52" t="s">
        <v>206</v>
      </c>
      <c r="E52" s="17">
        <v>44256</v>
      </c>
      <c r="F52" s="17">
        <f t="shared" si="0"/>
        <v>44256</v>
      </c>
      <c r="G52" s="57">
        <v>7181234.8499999996</v>
      </c>
      <c r="H52" s="54"/>
      <c r="I52" s="53">
        <f>G52+55655.15-7236890</f>
        <v>0</v>
      </c>
      <c r="J52" s="53">
        <f t="shared" si="1"/>
        <v>0</v>
      </c>
      <c r="K52" s="59"/>
      <c r="L52" s="55"/>
      <c r="M52" s="87"/>
    </row>
    <row r="53" spans="1:13">
      <c r="A53" s="1">
        <v>55</v>
      </c>
      <c r="B53">
        <v>26</v>
      </c>
      <c r="C53" s="51" t="s">
        <v>70</v>
      </c>
      <c r="D53" s="52" t="s">
        <v>207</v>
      </c>
      <c r="E53" s="17" t="s">
        <v>272</v>
      </c>
      <c r="F53" s="17" t="s">
        <v>272</v>
      </c>
      <c r="G53" s="57">
        <f>5193108.4+12654093.17+9305232.28 +17382183.68 +13909471.04</f>
        <v>58444088.57</v>
      </c>
      <c r="H53" s="54"/>
      <c r="I53" s="53">
        <f>G53-58444088.57</f>
        <v>0</v>
      </c>
      <c r="J53" s="53">
        <f t="shared" si="1"/>
        <v>0</v>
      </c>
      <c r="K53" s="59"/>
      <c r="L53" s="55"/>
      <c r="M53" s="87"/>
    </row>
    <row r="54" spans="1:13">
      <c r="A54" s="1">
        <v>56</v>
      </c>
      <c r="B54">
        <v>52</v>
      </c>
      <c r="C54" s="51" t="s">
        <v>70</v>
      </c>
      <c r="D54" s="52" t="s">
        <v>208</v>
      </c>
      <c r="E54" s="17" t="s">
        <v>272</v>
      </c>
      <c r="F54" s="17" t="s">
        <v>272</v>
      </c>
      <c r="G54" s="57">
        <f>8844931.63 +66554310.73 +66907951.87</f>
        <v>142307194.22999999</v>
      </c>
      <c r="H54" s="54"/>
      <c r="I54" s="53">
        <f>G54+1067305.77+9856997+3447710+3564500-160243707</f>
        <v>0</v>
      </c>
      <c r="J54" s="53">
        <f t="shared" si="1"/>
        <v>0</v>
      </c>
      <c r="K54" s="59" t="s">
        <v>127</v>
      </c>
      <c r="L54" s="55"/>
      <c r="M54" s="87"/>
    </row>
    <row r="55" spans="1:13">
      <c r="A55" s="1">
        <v>57</v>
      </c>
      <c r="B55">
        <v>26</v>
      </c>
      <c r="C55" s="51" t="s">
        <v>70</v>
      </c>
      <c r="D55" s="52" t="s">
        <v>209</v>
      </c>
      <c r="E55" s="17" t="s">
        <v>272</v>
      </c>
      <c r="F55" s="17" t="s">
        <v>272</v>
      </c>
      <c r="G55" s="57">
        <f>64564586.3 +58960896.36 +64710418.6 +67695092.7 +67755842.45</f>
        <v>323686836.40999997</v>
      </c>
      <c r="H55" s="54"/>
      <c r="I55" s="53">
        <f>G55-177200000-68000000-30000000-4350000+859270.59-22000000-15000000-7996107</f>
        <v>-2.9802322387695313E-8</v>
      </c>
      <c r="J55" s="53">
        <f t="shared" si="1"/>
        <v>-2.9802322387695313E-8</v>
      </c>
      <c r="K55" s="59"/>
      <c r="L55" s="55"/>
      <c r="M55" s="87"/>
    </row>
    <row r="56" spans="1:13">
      <c r="A56" s="1">
        <v>58</v>
      </c>
      <c r="B56">
        <v>47</v>
      </c>
      <c r="C56" s="51" t="s">
        <v>70</v>
      </c>
      <c r="D56" s="52" t="s">
        <v>210</v>
      </c>
      <c r="E56" s="17" t="s">
        <v>273</v>
      </c>
      <c r="F56" s="17" t="str">
        <f>E56</f>
        <v>:08-03-2021</v>
      </c>
      <c r="G56" s="57">
        <f>15055000+31538310 +37447260 +32696650+19701920+13126647</f>
        <v>149565787</v>
      </c>
      <c r="H56" s="54"/>
      <c r="I56" s="53">
        <f>G56+897395-377843-3466151-1810342-3665178-8500000-7005647-3400000-44800000-9186000+4784807-379367 -4248813-1958990-10829556-2000000-6112989-8058454-4183444-936771-2427445-10000000-6202666-6091600-7616658-1973685-3381259-998316+4363185</f>
        <v>0</v>
      </c>
      <c r="J56" s="53">
        <f t="shared" si="1"/>
        <v>0</v>
      </c>
      <c r="K56" s="59"/>
      <c r="L56" s="55"/>
      <c r="M56" s="87"/>
    </row>
    <row r="57" spans="1:13">
      <c r="A57" s="1">
        <v>59</v>
      </c>
      <c r="B57">
        <v>38</v>
      </c>
      <c r="C57" s="51" t="s">
        <v>108</v>
      </c>
      <c r="D57" s="52" t="s">
        <v>211</v>
      </c>
      <c r="E57" s="17" t="s">
        <v>274</v>
      </c>
      <c r="F57" s="17" t="str">
        <f>E57</f>
        <v>:21-03-2021</v>
      </c>
      <c r="G57" s="57">
        <f>40000000 +140397050</f>
        <v>180397050</v>
      </c>
      <c r="H57" s="54"/>
      <c r="I57" s="53">
        <f>G57+496095+8321085+4258000+4401500+4551100+68881900</f>
        <v>271306730</v>
      </c>
      <c r="J57" s="53">
        <f t="shared" si="1"/>
        <v>271306730</v>
      </c>
      <c r="K57" s="59" t="s">
        <v>48</v>
      </c>
      <c r="L57" s="55"/>
      <c r="M57" s="87"/>
    </row>
    <row r="58" spans="1:13">
      <c r="A58" s="1">
        <v>60</v>
      </c>
      <c r="B58">
        <v>27</v>
      </c>
      <c r="C58" s="51" t="s">
        <v>2</v>
      </c>
      <c r="D58" s="52" t="s">
        <v>212</v>
      </c>
      <c r="E58" s="17">
        <v>44312</v>
      </c>
      <c r="F58" s="17" t="s">
        <v>275</v>
      </c>
      <c r="G58" s="57">
        <f>85239536.45</f>
        <v>85239536.450000003</v>
      </c>
      <c r="H58" s="54"/>
      <c r="I58" s="53">
        <f>G58-2500000+1393330.55-1000000-1500000+3801112</f>
        <v>85433979</v>
      </c>
      <c r="J58" s="53">
        <f>I58-85433979</f>
        <v>0</v>
      </c>
      <c r="K58" s="59" t="s">
        <v>48</v>
      </c>
      <c r="L58" s="55" t="s">
        <v>131</v>
      </c>
      <c r="M58" s="87"/>
    </row>
    <row r="59" spans="1:13">
      <c r="A59" s="1">
        <v>61</v>
      </c>
      <c r="B59">
        <v>52</v>
      </c>
      <c r="C59" s="51" t="s">
        <v>2</v>
      </c>
      <c r="D59" s="52" t="s">
        <v>213</v>
      </c>
      <c r="E59" s="17">
        <v>44319</v>
      </c>
      <c r="F59" s="17">
        <f t="shared" ref="F59:F65" si="2">E59</f>
        <v>44319</v>
      </c>
      <c r="G59" s="57">
        <f>22069699.85 +21940567.35 +18208305.32+17467010.22 +15846540.38+19528603.11 +25641545.18+25740933.95+14200736.45 +13866651.24 +21715899.67+23436185.82 +21424441.88</f>
        <v>261087120.41999996</v>
      </c>
      <c r="H59" s="54"/>
      <c r="I59" s="53">
        <f>G59+3851040.58+12187156+6235350-283360667</f>
        <v>0</v>
      </c>
      <c r="J59" s="53">
        <f t="shared" ref="J59:J72" si="3">I59</f>
        <v>0</v>
      </c>
      <c r="K59" s="59" t="s">
        <v>127</v>
      </c>
      <c r="L59" s="55"/>
      <c r="M59" s="87"/>
    </row>
    <row r="60" spans="1:13">
      <c r="A60" s="1">
        <v>62</v>
      </c>
      <c r="B60">
        <v>29</v>
      </c>
      <c r="C60" s="51" t="s">
        <v>2</v>
      </c>
      <c r="D60" s="52" t="s">
        <v>214</v>
      </c>
      <c r="E60" s="17" t="s">
        <v>276</v>
      </c>
      <c r="F60" s="17" t="str">
        <f t="shared" si="2"/>
        <v>:08-062021</v>
      </c>
      <c r="G60" s="57">
        <f>26850000</f>
        <v>26850000</v>
      </c>
      <c r="H60" s="54"/>
      <c r="I60" s="53">
        <f>G60+154390+1242202+888000+662900+685400</f>
        <v>30482892</v>
      </c>
      <c r="J60" s="53">
        <f t="shared" si="3"/>
        <v>30482892</v>
      </c>
      <c r="K60" s="59" t="s">
        <v>48</v>
      </c>
      <c r="L60" s="55"/>
      <c r="M60" s="87"/>
    </row>
    <row r="61" spans="1:13">
      <c r="A61" s="1">
        <v>63</v>
      </c>
      <c r="B61">
        <v>3</v>
      </c>
      <c r="C61" s="51" t="s">
        <v>0</v>
      </c>
      <c r="D61" s="52" t="s">
        <v>215</v>
      </c>
      <c r="E61" s="17" t="s">
        <v>277</v>
      </c>
      <c r="F61" s="17" t="str">
        <f t="shared" si="2"/>
        <v>:22-6-2021</v>
      </c>
      <c r="G61" s="57">
        <f>10657414.48 +8578826.26</f>
        <v>19236240.740000002</v>
      </c>
      <c r="H61" s="54"/>
      <c r="I61" s="53">
        <f>G61+43290.26+886859-7700000 +409470+293000-13168860</f>
        <v>0</v>
      </c>
      <c r="J61" s="53">
        <f t="shared" si="3"/>
        <v>0</v>
      </c>
      <c r="K61" s="83" t="s">
        <v>127</v>
      </c>
      <c r="L61" s="55"/>
      <c r="M61" s="87"/>
    </row>
    <row r="62" spans="1:13">
      <c r="A62" s="1">
        <v>64</v>
      </c>
      <c r="B62">
        <v>26</v>
      </c>
      <c r="C62" s="51" t="s">
        <v>0</v>
      </c>
      <c r="D62" s="52" t="s">
        <v>216</v>
      </c>
      <c r="E62" s="17" t="s">
        <v>277</v>
      </c>
      <c r="F62" s="17" t="str">
        <f t="shared" si="2"/>
        <v>:22-6-2021</v>
      </c>
      <c r="G62" s="57">
        <f>14032236.37+20005666.64 +13367151.27+20166865.72+51936739.3 +52401567.42</f>
        <v>171910226.72</v>
      </c>
      <c r="H62" s="54"/>
      <c r="I62" s="53">
        <f>G62+386800.28+7925664-3500000-1175000-6100000+7847000+177294691-177294691- 177294691</f>
        <v>0</v>
      </c>
      <c r="J62" s="53">
        <f t="shared" si="3"/>
        <v>0</v>
      </c>
      <c r="K62" s="59" t="s">
        <v>127</v>
      </c>
      <c r="L62" s="55"/>
      <c r="M62" s="87"/>
    </row>
    <row r="63" spans="1:13">
      <c r="A63" s="1">
        <v>65</v>
      </c>
      <c r="B63">
        <v>52</v>
      </c>
      <c r="C63" s="51" t="s">
        <v>134</v>
      </c>
      <c r="D63" s="52" t="s">
        <v>217</v>
      </c>
      <c r="E63" s="17" t="s">
        <v>278</v>
      </c>
      <c r="F63" s="17" t="str">
        <f t="shared" si="2"/>
        <v>:27-06-2021</v>
      </c>
      <c r="G63" s="57">
        <f>13634850.11 +9896268.68 +9970987.39 +14151549.09 +13503134.23 +8639295.73+66767876.64 +14868823.53 +12916732.02 +45848647.61 +34896110.28+5782800.25</f>
        <v>250877075.56000003</v>
      </c>
      <c r="H63" s="54"/>
      <c r="I63" s="53">
        <f>G63+250880.44+11551886+5910300+11887000-280477142</f>
        <v>0</v>
      </c>
      <c r="J63" s="53">
        <f t="shared" si="3"/>
        <v>0</v>
      </c>
      <c r="K63" s="59" t="s">
        <v>127</v>
      </c>
      <c r="L63" s="20">
        <f>5910300</f>
        <v>5910300</v>
      </c>
      <c r="M63" s="15"/>
    </row>
    <row r="64" spans="1:13">
      <c r="A64" s="1">
        <v>66</v>
      </c>
      <c r="B64">
        <v>47</v>
      </c>
      <c r="C64" s="51" t="s">
        <v>135</v>
      </c>
      <c r="D64" s="52" t="s">
        <v>218</v>
      </c>
      <c r="E64" s="17" t="s">
        <v>279</v>
      </c>
      <c r="F64" s="17" t="str">
        <f t="shared" si="2"/>
        <v>:29-07-2021</v>
      </c>
      <c r="G64" s="54">
        <f>11643000 +24658000+36407000+37030000 +36081000 +34777000 +34806488+36185000 +36920000 +36796000</f>
        <v>325303488</v>
      </c>
      <c r="H64" s="54"/>
      <c r="I64" s="53">
        <f>G64+3181840-16554227-23650000-1800000-13200000-37000000-20000000-3800000-2618598-898734-6302984 -971306-4000000-51000000-25800000-10719274-27000000-10000000-42900000-2261437-407518-10400000-2900000-8450000+3907131-9758381</f>
        <v>0</v>
      </c>
      <c r="J64" s="53">
        <f t="shared" si="3"/>
        <v>0</v>
      </c>
      <c r="K64" s="59"/>
      <c r="L64" s="55"/>
      <c r="M64" s="87"/>
    </row>
    <row r="65" spans="1:13">
      <c r="A65" s="1">
        <v>67</v>
      </c>
      <c r="B65">
        <v>50</v>
      </c>
      <c r="C65" s="51" t="s">
        <v>135</v>
      </c>
      <c r="D65" s="52" t="s">
        <v>219</v>
      </c>
      <c r="E65" s="17" t="s">
        <v>280</v>
      </c>
      <c r="F65" s="17" t="str">
        <f t="shared" si="2"/>
        <v>:17-08-2021</v>
      </c>
      <c r="G65" s="54">
        <f>32734624.51</f>
        <v>32734624.510000002</v>
      </c>
      <c r="H65" s="54"/>
      <c r="I65" s="53">
        <f>G65-2700000-1912878-857981-217400-1977813-2875821-1034324-2908502-18200000-232300.51+182395</f>
        <v>1.6298145055770874E-9</v>
      </c>
      <c r="J65" s="53">
        <f t="shared" si="3"/>
        <v>1.6298145055770874E-9</v>
      </c>
      <c r="K65" s="59" t="s">
        <v>127</v>
      </c>
      <c r="L65" s="55"/>
      <c r="M65" s="87"/>
    </row>
    <row r="66" spans="1:13">
      <c r="A66" s="1">
        <v>68</v>
      </c>
      <c r="B66">
        <v>52</v>
      </c>
      <c r="C66" s="51" t="s">
        <v>137</v>
      </c>
      <c r="D66" s="52" t="s">
        <v>220</v>
      </c>
      <c r="E66" s="17" t="s">
        <v>281</v>
      </c>
      <c r="F66" s="17" t="s">
        <v>281</v>
      </c>
      <c r="G66" s="54">
        <f>22885603.47+18154364.32+11787450+13264895.04 +17859998.91 +15615954.42 +16081229.5 +18666203.87 +8206004.47 +15370040.62 +19625207.33 +33334243.47 +16104278.95</f>
        <v>226955474.36999997</v>
      </c>
      <c r="H66" s="54"/>
      <c r="I66" s="53">
        <f>G66+1717250+5259473+5263480+5441800-244637477.37</f>
        <v>0</v>
      </c>
      <c r="J66" s="53">
        <f t="shared" si="3"/>
        <v>0</v>
      </c>
      <c r="K66" s="59" t="s">
        <v>127</v>
      </c>
      <c r="L66" s="55"/>
      <c r="M66" s="87"/>
    </row>
    <row r="67" spans="1:13">
      <c r="A67" s="1">
        <v>69</v>
      </c>
      <c r="B67">
        <v>50</v>
      </c>
      <c r="C67" s="51" t="s">
        <v>138</v>
      </c>
      <c r="D67" s="52" t="s">
        <v>221</v>
      </c>
      <c r="E67" s="17" t="s">
        <v>282</v>
      </c>
      <c r="F67" s="17" t="str">
        <f t="shared" ref="F67:F101" si="4">E67</f>
        <v>:02-09-2021</v>
      </c>
      <c r="G67" s="54">
        <v>99891161.079999998</v>
      </c>
      <c r="H67" s="54"/>
      <c r="I67" s="53">
        <f>G67-2000000+720210.92-800000-8550000-97991-2003109-17100000-3600000+1913954-2301259 -718019-2008763-10000000-2281916-2340355-8434496-3643059-1053349-7400000-2407188-5000000-2365650-3134395-10246545+865000-5400000-504232</f>
        <v>0</v>
      </c>
      <c r="J67" s="53">
        <f t="shared" si="3"/>
        <v>0</v>
      </c>
      <c r="K67" s="59" t="s">
        <v>127</v>
      </c>
      <c r="L67" s="55"/>
      <c r="M67" s="87"/>
    </row>
    <row r="68" spans="1:13">
      <c r="A68" s="1">
        <v>70</v>
      </c>
      <c r="B68">
        <v>13</v>
      </c>
      <c r="C68" s="51" t="s">
        <v>137</v>
      </c>
      <c r="D68" s="52" t="s">
        <v>222</v>
      </c>
      <c r="E68" s="17" t="s">
        <v>283</v>
      </c>
      <c r="F68" s="17" t="str">
        <f t="shared" si="4"/>
        <v>:08-9-2021</v>
      </c>
      <c r="G68" s="54">
        <f>3062144</f>
        <v>3062144</v>
      </c>
      <c r="H68" s="54"/>
      <c r="I68" s="53">
        <f>G68+17610-3105932+26178</f>
        <v>0</v>
      </c>
      <c r="J68" s="53">
        <f t="shared" si="3"/>
        <v>0</v>
      </c>
      <c r="K68" s="59"/>
      <c r="L68" s="55"/>
      <c r="M68" s="87"/>
    </row>
    <row r="69" spans="1:13">
      <c r="A69" s="1">
        <v>71</v>
      </c>
      <c r="B69">
        <v>47</v>
      </c>
      <c r="C69" s="51" t="s">
        <v>141</v>
      </c>
      <c r="D69" s="52" t="s">
        <v>223</v>
      </c>
      <c r="E69" s="17" t="s">
        <v>284</v>
      </c>
      <c r="F69" s="17" t="str">
        <f t="shared" si="4"/>
        <v>:16-09-2021</v>
      </c>
      <c r="G69" s="54">
        <f>39870000</f>
        <v>39870000</v>
      </c>
      <c r="H69" s="54"/>
      <c r="I69" s="53">
        <f>G69+149515+37014794.97+37529211+37529210.73 +32731895 +8048782-37529210.73+20182183.96-21141619+3762908-23600000 -9700000-46400000-16481000-6048000-4000000-4500000-8000000-2125516-1644791 -5850000-16500000 -13623443.93+325080</f>
        <v>7.4505805969238281E-9</v>
      </c>
      <c r="J69" s="53">
        <f t="shared" si="3"/>
        <v>7.4505805969238281E-9</v>
      </c>
      <c r="K69" s="59"/>
      <c r="L69" s="55"/>
      <c r="M69" s="87"/>
    </row>
    <row r="70" spans="1:13">
      <c r="A70" s="1">
        <v>72</v>
      </c>
      <c r="B70">
        <v>52</v>
      </c>
      <c r="C70" s="51" t="s">
        <v>134</v>
      </c>
      <c r="D70" s="52" t="s">
        <v>224</v>
      </c>
      <c r="E70" s="17" t="s">
        <v>285</v>
      </c>
      <c r="F70" s="17" t="str">
        <f t="shared" si="4"/>
        <v>:22-09-2021</v>
      </c>
      <c r="G70" s="54">
        <f>7916348.15+12988137.18+7384202.44+45177540.53 +4679100.39 +16823865.67 +28747310.33+19352792.41 +23633102.29 +13897109.76 +26473622.83 +22057169.43 +7917687.74 +17581186.77 +13477702.15 +15788551.16 +21222046.38</f>
        <v>305117475.61000001</v>
      </c>
      <c r="H70" s="54"/>
      <c r="I70" s="53">
        <f>G70+617310.39+7031901+7037260+7275600-327079547</f>
        <v>0</v>
      </c>
      <c r="J70" s="53">
        <f t="shared" si="3"/>
        <v>0</v>
      </c>
      <c r="K70" s="59" t="s">
        <v>127</v>
      </c>
      <c r="L70" s="55"/>
      <c r="M70" s="87"/>
    </row>
    <row r="71" spans="1:13">
      <c r="A71" s="1">
        <v>73</v>
      </c>
      <c r="B71">
        <v>3</v>
      </c>
      <c r="C71" s="51" t="s">
        <v>134</v>
      </c>
      <c r="D71" s="52" t="s">
        <v>225</v>
      </c>
      <c r="E71" s="17" t="s">
        <v>285</v>
      </c>
      <c r="F71" s="17" t="str">
        <f t="shared" si="4"/>
        <v>:22-09-2021</v>
      </c>
      <c r="G71" s="54">
        <f>11907155.6 +13148709.6 +9676107.77 +8084537.61 +7129732.7 +12286406.95+11367471.15</f>
        <v>73600121.38000001</v>
      </c>
      <c r="H71" s="54"/>
      <c r="I71" s="53">
        <f>G71+165605.62+1696612+1698000+1755400-78915739</f>
        <v>0</v>
      </c>
      <c r="J71" s="53">
        <f t="shared" si="3"/>
        <v>0</v>
      </c>
      <c r="K71" s="83" t="s">
        <v>127</v>
      </c>
      <c r="L71" s="55"/>
      <c r="M71" s="87"/>
    </row>
    <row r="72" spans="1:13">
      <c r="A72" s="1">
        <v>74</v>
      </c>
      <c r="B72">
        <v>29</v>
      </c>
      <c r="C72" s="51" t="s">
        <v>142</v>
      </c>
      <c r="D72" s="52" t="s">
        <v>226</v>
      </c>
      <c r="E72" s="17" t="s">
        <v>286</v>
      </c>
      <c r="F72" s="17" t="str">
        <f t="shared" si="4"/>
        <v>:31-10-2021</v>
      </c>
      <c r="G72" s="54">
        <v>19898000</v>
      </c>
      <c r="H72" s="54"/>
      <c r="I72" s="53">
        <f>G72+308420+455000+471000+486100+1047980-1047980+57910</f>
        <v>21676430</v>
      </c>
      <c r="J72" s="53">
        <f t="shared" si="3"/>
        <v>21676430</v>
      </c>
      <c r="K72" s="59" t="s">
        <v>48</v>
      </c>
      <c r="L72" s="55"/>
      <c r="M72" s="87"/>
    </row>
    <row r="73" spans="1:13" ht="25.5">
      <c r="A73" s="1">
        <v>75</v>
      </c>
      <c r="B73">
        <v>46</v>
      </c>
      <c r="C73" s="51" t="s">
        <v>142</v>
      </c>
      <c r="D73" s="52" t="s">
        <v>227</v>
      </c>
      <c r="E73" s="17" t="s">
        <v>287</v>
      </c>
      <c r="F73" s="17" t="str">
        <f t="shared" si="4"/>
        <v>:11-11-2021</v>
      </c>
      <c r="G73" s="54">
        <f>71071050</f>
        <v>71071050</v>
      </c>
      <c r="H73" s="54"/>
      <c r="I73" s="53">
        <f>G73+906156+655000 +966000-546525+683500 +673700+1004700+706800+4354970 +3063329</f>
        <v>83538680</v>
      </c>
      <c r="J73" s="53">
        <f>I73-83538680</f>
        <v>0</v>
      </c>
      <c r="K73" s="66" t="s">
        <v>113</v>
      </c>
      <c r="L73" s="55"/>
      <c r="M73" s="87"/>
    </row>
    <row r="74" spans="1:13">
      <c r="A74" s="1">
        <v>76</v>
      </c>
      <c r="B74">
        <v>26</v>
      </c>
      <c r="C74" s="51" t="s">
        <v>142</v>
      </c>
      <c r="D74" s="52" t="s">
        <v>228</v>
      </c>
      <c r="E74" s="17" t="s">
        <v>288</v>
      </c>
      <c r="F74" s="17" t="str">
        <f t="shared" si="4"/>
        <v>:28-11-2021</v>
      </c>
      <c r="G74" s="54">
        <f>419491394.9</f>
        <v>419491394.89999998</v>
      </c>
      <c r="H74" s="54"/>
      <c r="I74" s="53">
        <f>G74+3565677-25525000-3050000-3100000+18196000+409578071.9-409578071.9-409578071.9</f>
        <v>0</v>
      </c>
      <c r="J74" s="53">
        <f>I74</f>
        <v>0</v>
      </c>
      <c r="K74" s="59" t="s">
        <v>127</v>
      </c>
      <c r="L74" s="55"/>
      <c r="M74" s="87"/>
    </row>
    <row r="75" spans="1:13">
      <c r="A75" s="1">
        <v>77</v>
      </c>
      <c r="B75">
        <v>52</v>
      </c>
      <c r="C75" s="51" t="s">
        <v>142</v>
      </c>
      <c r="D75" s="52" t="s">
        <v>229</v>
      </c>
      <c r="E75" s="17" t="s">
        <v>289</v>
      </c>
      <c r="F75" s="17" t="str">
        <f t="shared" si="4"/>
        <v>:22-12-2021</v>
      </c>
      <c r="G75" s="54">
        <f>37263744.23+5709610.38+29382082.55 +43463484.69 +41520300.82</f>
        <v>157339222.66999999</v>
      </c>
      <c r="H75" s="54"/>
      <c r="I75" s="53">
        <f>G75+393350+1000000+3975720+3701700-166409992.67</f>
        <v>0</v>
      </c>
      <c r="J75" s="53">
        <f>I75</f>
        <v>0</v>
      </c>
      <c r="K75" s="59" t="s">
        <v>127</v>
      </c>
      <c r="L75" s="55"/>
      <c r="M75" s="87"/>
    </row>
    <row r="76" spans="1:13">
      <c r="A76" s="1">
        <v>78</v>
      </c>
      <c r="B76">
        <v>3</v>
      </c>
      <c r="C76" s="51" t="s">
        <v>142</v>
      </c>
      <c r="D76" s="52" t="s">
        <v>230</v>
      </c>
      <c r="E76" s="17">
        <v>44557</v>
      </c>
      <c r="F76" s="17">
        <f t="shared" si="4"/>
        <v>44557</v>
      </c>
      <c r="G76" s="54">
        <v>58500000</v>
      </c>
      <c r="H76" s="54"/>
      <c r="I76" s="53">
        <f>G76+1391100+1362600-61253700</f>
        <v>0</v>
      </c>
      <c r="J76" s="53">
        <f>I76</f>
        <v>0</v>
      </c>
      <c r="K76" s="83" t="s">
        <v>127</v>
      </c>
      <c r="L76" s="55"/>
      <c r="M76" s="87"/>
    </row>
    <row r="77" spans="1:13">
      <c r="A77" s="1">
        <v>79</v>
      </c>
      <c r="B77">
        <v>45</v>
      </c>
      <c r="C77" s="51" t="s">
        <v>142</v>
      </c>
      <c r="D77" s="52" t="s">
        <v>231</v>
      </c>
      <c r="E77" s="17">
        <v>44572</v>
      </c>
      <c r="F77" s="17">
        <f t="shared" si="4"/>
        <v>44572</v>
      </c>
      <c r="G77" s="54">
        <f>98000000+39600000</f>
        <v>137600000</v>
      </c>
      <c r="H77" s="54"/>
      <c r="I77" s="53">
        <f>G77+2752000+3125000-4000000</f>
        <v>139477000</v>
      </c>
      <c r="J77" s="53">
        <f>I77-3000000+3139000+3211170</f>
        <v>142827170</v>
      </c>
      <c r="K77" s="59"/>
      <c r="L77" s="55"/>
      <c r="M77" s="87"/>
    </row>
    <row r="78" spans="1:13" ht="25.5">
      <c r="A78" s="1">
        <v>80</v>
      </c>
      <c r="B78">
        <v>46</v>
      </c>
      <c r="C78" s="51" t="s">
        <v>142</v>
      </c>
      <c r="D78" s="52" t="s">
        <v>232</v>
      </c>
      <c r="E78" s="17" t="s">
        <v>290</v>
      </c>
      <c r="F78" s="17" t="str">
        <f t="shared" si="4"/>
        <v>:23-01-2022</v>
      </c>
      <c r="G78" s="54">
        <f>2916593 +3215759 +6114879 +2912466 +3459531</f>
        <v>18619228</v>
      </c>
      <c r="H78" s="54"/>
      <c r="I78" s="53">
        <f>G78+317000+430800+445000+1930777</f>
        <v>21742805</v>
      </c>
      <c r="J78" s="53">
        <f>I78-21742805</f>
        <v>0</v>
      </c>
      <c r="K78" s="66" t="s">
        <v>113</v>
      </c>
      <c r="L78" s="55"/>
      <c r="M78" s="87"/>
    </row>
    <row r="79" spans="1:13" ht="25.5">
      <c r="A79" s="1">
        <v>81</v>
      </c>
      <c r="B79">
        <v>46</v>
      </c>
      <c r="C79" s="51" t="s">
        <v>142</v>
      </c>
      <c r="D79" s="52" t="s">
        <v>233</v>
      </c>
      <c r="E79" s="17" t="s">
        <v>290</v>
      </c>
      <c r="F79" s="17" t="str">
        <f t="shared" si="4"/>
        <v>:23-01-2022</v>
      </c>
      <c r="G79" s="54">
        <f>2933381</f>
        <v>2933381</v>
      </c>
      <c r="H79" s="54"/>
      <c r="I79" s="53">
        <f>G79+50000+68000+70200+304214</f>
        <v>3425795</v>
      </c>
      <c r="J79" s="53">
        <f>I79-3425795</f>
        <v>0</v>
      </c>
      <c r="K79" s="66" t="s">
        <v>113</v>
      </c>
      <c r="L79" s="55"/>
      <c r="M79" s="87"/>
    </row>
    <row r="80" spans="1:13">
      <c r="A80" s="1">
        <v>82</v>
      </c>
      <c r="B80">
        <v>44</v>
      </c>
      <c r="C80" s="51" t="s">
        <v>135</v>
      </c>
      <c r="D80" s="52" t="s">
        <v>234</v>
      </c>
      <c r="E80" s="17" t="s">
        <v>291</v>
      </c>
      <c r="F80" s="17" t="str">
        <f t="shared" si="4"/>
        <v>:27-02-2022</v>
      </c>
      <c r="G80" s="54">
        <f>99606588.79</f>
        <v>99606588.790000007</v>
      </c>
      <c r="H80" s="54"/>
      <c r="I80" s="53">
        <f>G80+820000+2285000+2362400+2416710</f>
        <v>107490698.79000001</v>
      </c>
      <c r="J80" s="53">
        <f>I80</f>
        <v>107490698.79000001</v>
      </c>
      <c r="K80" s="59"/>
      <c r="L80" s="55"/>
      <c r="M80" s="87"/>
    </row>
    <row r="81" spans="1:13">
      <c r="A81" s="1">
        <v>83</v>
      </c>
      <c r="B81">
        <v>52</v>
      </c>
      <c r="C81" s="51" t="s">
        <v>134</v>
      </c>
      <c r="D81" s="52" t="s">
        <v>235</v>
      </c>
      <c r="E81" s="17" t="s">
        <v>292</v>
      </c>
      <c r="F81" s="17" t="str">
        <f t="shared" si="4"/>
        <v>:28-2-2022</v>
      </c>
      <c r="G81" s="54">
        <f>10476000 +27842000</f>
        <v>38318000</v>
      </c>
      <c r="H81" s="54"/>
      <c r="I81" s="53">
        <f>G81+306550+307000-20000000 -1000000+587000+426000+435000+445730</f>
        <v>19825280</v>
      </c>
      <c r="J81" s="53">
        <f>I81</f>
        <v>19825280</v>
      </c>
      <c r="K81" s="59"/>
      <c r="L81" s="55"/>
      <c r="M81" s="87"/>
    </row>
    <row r="82" spans="1:13">
      <c r="A82" s="1">
        <v>84</v>
      </c>
      <c r="B82">
        <v>26</v>
      </c>
      <c r="C82" s="60" t="s">
        <v>146</v>
      </c>
      <c r="D82" s="52" t="s">
        <v>236</v>
      </c>
      <c r="E82" s="17" t="s">
        <v>293</v>
      </c>
      <c r="F82" s="17" t="str">
        <f t="shared" si="4"/>
        <v>:08-03-2022</v>
      </c>
      <c r="G82" s="54">
        <f>31989505.35 +13558130.59 +5902844.88 +19734314.55+13913333.79 +45734562.45 +35210477.99 +23718943.95</f>
        <v>189762113.54999998</v>
      </c>
      <c r="H82" s="54"/>
      <c r="I82" s="53">
        <f>G82+1139000+4343000+4490700+4593900</f>
        <v>204328713.54999998</v>
      </c>
      <c r="J82" s="53">
        <f>I82</f>
        <v>204328713.54999998</v>
      </c>
      <c r="K82" s="59"/>
      <c r="L82" s="55"/>
      <c r="M82" s="87"/>
    </row>
    <row r="83" spans="1:13">
      <c r="A83" s="1">
        <v>85</v>
      </c>
      <c r="B83">
        <v>29</v>
      </c>
      <c r="C83" s="61" t="s">
        <v>134</v>
      </c>
      <c r="D83" s="24" t="s">
        <v>237</v>
      </c>
      <c r="E83" s="12" t="s">
        <v>294</v>
      </c>
      <c r="F83" s="12" t="str">
        <f t="shared" si="4"/>
        <v>:06-06-2022</v>
      </c>
      <c r="G83" s="62">
        <f>31306000</f>
        <v>31306000</v>
      </c>
      <c r="H83" s="62"/>
      <c r="I83" s="63">
        <f>G83-785000+198602+706600+722810-3500000</f>
        <v>28649012</v>
      </c>
      <c r="J83" s="63">
        <f>I83</f>
        <v>28649012</v>
      </c>
      <c r="K83" s="82"/>
      <c r="L83" s="11"/>
      <c r="M83" s="10"/>
    </row>
    <row r="84" spans="1:13">
      <c r="A84" s="1">
        <v>86</v>
      </c>
      <c r="B84">
        <v>40</v>
      </c>
      <c r="C84" s="61" t="s">
        <v>134</v>
      </c>
      <c r="D84" s="24" t="s">
        <v>238</v>
      </c>
      <c r="E84" s="12" t="s">
        <v>295</v>
      </c>
      <c r="F84" s="12" t="str">
        <f t="shared" si="4"/>
        <v>:27-04-2023</v>
      </c>
      <c r="G84" s="64">
        <f>45831563.07+4048151.14+3950903.34+5216990.5 +5017329.42 +4740352.1 +4781841.5 +4083649.2 +4398043.67 +4469928.56 +4177503.33 +4302828.11 +5593303.02 +4418492.78 +4041661.72 +3999527.49 +4490735.64 +4658403.19 +4615663.45 +4601857.88 +4159619.83 +5239357.91 +5229653.6 +5363791.1 +4594762.83 +5137780.26 +4456978.6 +4888556.91+4373449.22 +4403520.37 +4322998.06+4719384.27 +5168849.44 +4833159.29 +6114055.06+5041219.88</f>
        <v>209485865.73999998</v>
      </c>
      <c r="H84" s="62"/>
      <c r="I84" s="63">
        <f>G84+2812700-4062000-4429950</f>
        <v>203806615.73999998</v>
      </c>
      <c r="J84" s="63">
        <f>I84-203806615.74</f>
        <v>0</v>
      </c>
      <c r="K84" s="82"/>
      <c r="L84" s="11"/>
      <c r="M84" s="10"/>
    </row>
    <row r="85" spans="1:13">
      <c r="A85" s="1">
        <v>87</v>
      </c>
      <c r="B85">
        <v>49</v>
      </c>
      <c r="C85" s="61" t="s">
        <v>134</v>
      </c>
      <c r="D85" s="24" t="s">
        <v>239</v>
      </c>
      <c r="E85" s="12" t="s">
        <v>295</v>
      </c>
      <c r="F85" s="12" t="str">
        <f t="shared" si="4"/>
        <v>:27-04-2023</v>
      </c>
      <c r="G85" s="62">
        <f>31490000+30529000 +17648000+23791000</f>
        <v>103458000</v>
      </c>
      <c r="H85" s="62"/>
      <c r="I85" s="63">
        <f>G85+1502300</f>
        <v>104960300</v>
      </c>
      <c r="J85" s="63">
        <f>I85-104960300</f>
        <v>0</v>
      </c>
      <c r="K85" s="82"/>
      <c r="L85" s="11"/>
      <c r="M85" s="10"/>
    </row>
    <row r="86" spans="1:13">
      <c r="A86" s="1">
        <v>88</v>
      </c>
      <c r="B86">
        <v>49</v>
      </c>
      <c r="C86" s="51" t="s">
        <v>134</v>
      </c>
      <c r="D86" s="52" t="s">
        <v>240</v>
      </c>
      <c r="E86" s="17">
        <v>45056</v>
      </c>
      <c r="F86" s="17">
        <f t="shared" si="4"/>
        <v>45056</v>
      </c>
      <c r="G86" s="54">
        <f>66451000</f>
        <v>66451000</v>
      </c>
      <c r="H86" s="54"/>
      <c r="I86" s="53">
        <f>G86+863900</f>
        <v>67314900</v>
      </c>
      <c r="J86" s="53">
        <f>I86-67314900</f>
        <v>0</v>
      </c>
      <c r="K86" s="59"/>
      <c r="L86" s="55"/>
      <c r="M86" s="87"/>
    </row>
    <row r="87" spans="1:13">
      <c r="A87" s="1">
        <v>89</v>
      </c>
      <c r="B87">
        <v>52</v>
      </c>
      <c r="C87" s="51" t="s">
        <v>134</v>
      </c>
      <c r="D87" s="52" t="s">
        <v>241</v>
      </c>
      <c r="E87" s="17">
        <v>45070</v>
      </c>
      <c r="F87" s="17">
        <f t="shared" si="4"/>
        <v>45070</v>
      </c>
      <c r="G87" s="65">
        <f>45676622.49 +51872239.22 +57902513.94 +39600554.55 +8136046.06 +78895580.45 +38643064.56 +58048081.34 +6632988.63+74636549.65 +15856919.37 +45978569.34 +53909124.63 +53089334.33 +46236463.61 +32744777.98 +40110710.16 +4948879.75 +4068827.38 +47637255.5</f>
        <v>804625102.94000006</v>
      </c>
      <c r="H87" s="54"/>
      <c r="I87" s="53">
        <f>G87+7644000</f>
        <v>812269102.94000006</v>
      </c>
      <c r="J87" s="53">
        <f>I87</f>
        <v>812269102.94000006</v>
      </c>
      <c r="K87" s="59"/>
      <c r="L87" s="55"/>
      <c r="M87" s="87"/>
    </row>
    <row r="88" spans="1:13">
      <c r="A88" s="1">
        <v>90</v>
      </c>
      <c r="B88">
        <v>26</v>
      </c>
      <c r="C88" s="51" t="s">
        <v>134</v>
      </c>
      <c r="D88" s="52" t="s">
        <v>242</v>
      </c>
      <c r="E88" s="17">
        <v>45077</v>
      </c>
      <c r="F88" s="17">
        <f t="shared" si="4"/>
        <v>45077</v>
      </c>
      <c r="G88" s="65">
        <f>49966828.61 +52364134.15 +33132820.36 +33026575.89 +34566810.76 +31933603.43 +63296000 +44300000 +2936005.28 +41599093.05 +18939039.01 +48289803.59 +23513727.76 +12402781.81 +49828845.07 +32721009.33+16790242.8 +32579476.81 +47871573.03 +40968207.27 +5062406.89 +6251966.37</f>
        <v>722340951.26999986</v>
      </c>
      <c r="H88" s="54"/>
      <c r="I88" s="53">
        <f>G88+5449000</f>
        <v>727789951.26999986</v>
      </c>
      <c r="J88" s="53">
        <f>I88</f>
        <v>727789951.26999986</v>
      </c>
      <c r="K88" s="59"/>
      <c r="L88" s="55"/>
      <c r="M88" s="87"/>
    </row>
    <row r="89" spans="1:13">
      <c r="A89" s="1">
        <v>91</v>
      </c>
      <c r="B89">
        <v>47</v>
      </c>
      <c r="C89" s="61" t="s">
        <v>134</v>
      </c>
      <c r="D89" s="24" t="s">
        <v>243</v>
      </c>
      <c r="E89" s="12" t="s">
        <v>296</v>
      </c>
      <c r="F89" s="12" t="str">
        <f t="shared" si="4"/>
        <v>:20-07-2023</v>
      </c>
      <c r="G89" s="64">
        <f>77222000</f>
        <v>77222000</v>
      </c>
      <c r="H89" s="62"/>
      <c r="I89" s="63">
        <f>G89</f>
        <v>77222000</v>
      </c>
      <c r="J89" s="63">
        <f>I89-77222000</f>
        <v>0</v>
      </c>
      <c r="K89" s="82" t="s">
        <v>150</v>
      </c>
      <c r="L89" s="11"/>
      <c r="M89" s="10"/>
    </row>
    <row r="90" spans="1:13">
      <c r="A90" s="1">
        <v>92</v>
      </c>
      <c r="B90">
        <v>1</v>
      </c>
      <c r="C90" s="61" t="s">
        <v>134</v>
      </c>
      <c r="D90" s="24" t="s">
        <v>244</v>
      </c>
      <c r="E90" s="12" t="s">
        <v>296</v>
      </c>
      <c r="F90" s="12" t="str">
        <f t="shared" si="4"/>
        <v>:20-07-2023</v>
      </c>
      <c r="G90" s="64">
        <f>22814816.78</f>
        <v>22814816.780000001</v>
      </c>
      <c r="H90" s="62"/>
      <c r="I90" s="63">
        <f>G90</f>
        <v>22814816.780000001</v>
      </c>
      <c r="J90" s="63">
        <f>I90-22814816.78</f>
        <v>0</v>
      </c>
      <c r="K90" s="82" t="s">
        <v>152</v>
      </c>
      <c r="L90" s="11"/>
      <c r="M90" s="10"/>
    </row>
    <row r="91" spans="1:13">
      <c r="A91" s="1">
        <v>93</v>
      </c>
      <c r="B91">
        <v>49</v>
      </c>
      <c r="C91" s="61" t="s">
        <v>134</v>
      </c>
      <c r="D91" s="24" t="s">
        <v>245</v>
      </c>
      <c r="E91" s="12" t="s">
        <v>296</v>
      </c>
      <c r="F91" s="12" t="str">
        <f t="shared" si="4"/>
        <v>:20-07-2023</v>
      </c>
      <c r="G91" s="64">
        <f>49725900</f>
        <v>49725900</v>
      </c>
      <c r="H91" s="62"/>
      <c r="I91" s="63">
        <f>G91</f>
        <v>49725900</v>
      </c>
      <c r="J91" s="63">
        <f>I91-49725900</f>
        <v>0</v>
      </c>
      <c r="K91" s="82" t="s">
        <v>154</v>
      </c>
      <c r="L91" s="11"/>
      <c r="M91" s="10"/>
    </row>
    <row r="92" spans="1:13">
      <c r="A92" s="1">
        <v>94</v>
      </c>
      <c r="B92">
        <v>4</v>
      </c>
      <c r="C92" s="61" t="s">
        <v>134</v>
      </c>
      <c r="D92" s="24" t="s">
        <v>246</v>
      </c>
      <c r="E92" s="12">
        <v>45137</v>
      </c>
      <c r="F92" s="12">
        <f t="shared" si="4"/>
        <v>45137</v>
      </c>
      <c r="G92" s="64">
        <f>24872998.44+5203488 +18671561.25 +8968239.06</f>
        <v>57716286.75</v>
      </c>
      <c r="H92" s="62"/>
      <c r="I92" s="63">
        <f>G92</f>
        <v>57716286.75</v>
      </c>
      <c r="J92" s="63">
        <f>I92</f>
        <v>57716286.75</v>
      </c>
      <c r="K92" s="82" t="s">
        <v>156</v>
      </c>
      <c r="L92" s="11"/>
      <c r="M92" s="10"/>
    </row>
    <row r="93" spans="1:13">
      <c r="A93" s="1">
        <v>95</v>
      </c>
      <c r="B93">
        <v>34</v>
      </c>
      <c r="C93" s="61" t="s">
        <v>134</v>
      </c>
      <c r="D93" s="24" t="s">
        <v>247</v>
      </c>
      <c r="E93" s="12">
        <v>45137</v>
      </c>
      <c r="F93" s="12">
        <f t="shared" si="4"/>
        <v>45137</v>
      </c>
      <c r="G93" s="64">
        <f>143837664.56</f>
        <v>143837664.56</v>
      </c>
      <c r="H93" s="62"/>
      <c r="I93" s="63">
        <f>G93+1966000+226550</f>
        <v>146030214.56</v>
      </c>
      <c r="J93" s="63">
        <f>I93</f>
        <v>146030214.56</v>
      </c>
      <c r="K93" s="82" t="s">
        <v>158</v>
      </c>
      <c r="L93" s="11"/>
      <c r="M93" s="10"/>
    </row>
    <row r="94" spans="1:13">
      <c r="A94" s="1">
        <v>96</v>
      </c>
      <c r="B94">
        <v>24</v>
      </c>
      <c r="C94" s="61" t="s">
        <v>134</v>
      </c>
      <c r="D94" s="24" t="s">
        <v>248</v>
      </c>
      <c r="E94" s="12">
        <v>45154</v>
      </c>
      <c r="F94" s="12">
        <f t="shared" si="4"/>
        <v>45154</v>
      </c>
      <c r="G94" s="64">
        <f>1925266.77 +5133891.37 +2409000 +2671033.5 +1912360.5 +1984997.59 +4373940.51 +6272671.79 +4531124.59 +1343106 +1303050 +4117604.06</f>
        <v>37978046.680000007</v>
      </c>
      <c r="H94" s="62"/>
      <c r="I94" s="63">
        <f>G94+490620-1550000+978000</f>
        <v>37896666.680000007</v>
      </c>
      <c r="J94" s="63">
        <f>I94</f>
        <v>37896666.680000007</v>
      </c>
      <c r="K94" s="82"/>
      <c r="L94" s="11"/>
      <c r="M94" s="10"/>
    </row>
    <row r="95" spans="1:13">
      <c r="A95" s="1">
        <v>97</v>
      </c>
      <c r="B95">
        <v>53</v>
      </c>
      <c r="C95" s="61" t="s">
        <v>134</v>
      </c>
      <c r="D95" s="24" t="s">
        <v>249</v>
      </c>
      <c r="E95" s="12">
        <v>45158</v>
      </c>
      <c r="F95" s="12">
        <f t="shared" si="4"/>
        <v>45158</v>
      </c>
      <c r="G95" s="64">
        <f>32803732.54</f>
        <v>32803732.539999999</v>
      </c>
      <c r="H95" s="62"/>
      <c r="I95" s="63">
        <f>G95+386920-1328000+1786200</f>
        <v>33648852.539999999</v>
      </c>
      <c r="J95" s="63">
        <f>I95</f>
        <v>33648852.539999999</v>
      </c>
      <c r="K95" s="82"/>
      <c r="L95" s="11"/>
      <c r="M95" s="10"/>
    </row>
    <row r="96" spans="1:13">
      <c r="A96" s="10"/>
      <c r="B96">
        <v>48</v>
      </c>
      <c r="C96" s="61" t="s">
        <v>2</v>
      </c>
      <c r="D96" s="24" t="s">
        <v>250</v>
      </c>
      <c r="E96" s="12">
        <v>45182</v>
      </c>
      <c r="F96" s="12">
        <f t="shared" si="4"/>
        <v>45182</v>
      </c>
      <c r="G96" s="64">
        <f>255204000</f>
        <v>255204000</v>
      </c>
      <c r="H96" s="62"/>
      <c r="I96" s="63">
        <f>G96</f>
        <v>255204000</v>
      </c>
      <c r="J96" s="63">
        <f>I96-255204000</f>
        <v>0</v>
      </c>
      <c r="K96" s="82"/>
      <c r="L96" s="11"/>
      <c r="M96" s="10"/>
    </row>
    <row r="97" spans="1:13">
      <c r="A97" s="10"/>
      <c r="B97">
        <v>25</v>
      </c>
      <c r="C97" s="61" t="s">
        <v>2</v>
      </c>
      <c r="D97" s="24" t="s">
        <v>251</v>
      </c>
      <c r="E97" s="12">
        <v>45182</v>
      </c>
      <c r="F97" s="12">
        <f t="shared" si="4"/>
        <v>45182</v>
      </c>
      <c r="G97" s="64">
        <f>28876958.96</f>
        <v>28876958.960000001</v>
      </c>
      <c r="H97" s="62"/>
      <c r="I97" s="63">
        <f>G97+97320</f>
        <v>28974278.960000001</v>
      </c>
      <c r="J97" s="63">
        <f t="shared" ref="J97:J105" si="5">I97</f>
        <v>28974278.960000001</v>
      </c>
      <c r="K97" s="82"/>
      <c r="L97" s="11"/>
      <c r="M97" s="10"/>
    </row>
    <row r="98" spans="1:13">
      <c r="A98" s="10"/>
      <c r="B98">
        <v>23</v>
      </c>
      <c r="C98" s="61" t="s">
        <v>2</v>
      </c>
      <c r="D98" s="67" t="s">
        <v>252</v>
      </c>
      <c r="E98" s="12">
        <v>45299</v>
      </c>
      <c r="F98" s="12">
        <f t="shared" si="4"/>
        <v>45299</v>
      </c>
      <c r="G98" s="64">
        <f>27600010 +157317473 +16626154</f>
        <v>201543637</v>
      </c>
      <c r="H98" s="62"/>
      <c r="I98" s="63">
        <f>G98+5477000+13148800+3637701-373567-168960-4290503+20000</f>
        <v>218994108</v>
      </c>
      <c r="J98" s="63">
        <f t="shared" si="5"/>
        <v>218994108</v>
      </c>
      <c r="K98" s="84" t="s">
        <v>164</v>
      </c>
      <c r="L98" s="11"/>
      <c r="M98" s="10"/>
    </row>
    <row r="99" spans="1:13">
      <c r="A99" s="10"/>
      <c r="B99">
        <v>9</v>
      </c>
      <c r="C99" s="61" t="s">
        <v>166</v>
      </c>
      <c r="D99" s="24" t="s">
        <v>253</v>
      </c>
      <c r="E99" s="12">
        <v>45574</v>
      </c>
      <c r="F99" s="12">
        <f t="shared" si="4"/>
        <v>45574</v>
      </c>
      <c r="G99" s="64">
        <f>9423329760</f>
        <v>9423329760</v>
      </c>
      <c r="H99" s="62"/>
      <c r="I99" s="63">
        <f>G99+1138417833-250000000-22200000+20000+319485210</f>
        <v>10609052803</v>
      </c>
      <c r="J99" s="63">
        <f t="shared" si="5"/>
        <v>10609052803</v>
      </c>
      <c r="K99" s="84" t="s">
        <v>164</v>
      </c>
      <c r="L99" s="11"/>
      <c r="M99" s="10"/>
    </row>
    <row r="100" spans="1:13">
      <c r="A100" s="10"/>
      <c r="B100">
        <v>8</v>
      </c>
      <c r="C100" s="61" t="s">
        <v>166</v>
      </c>
      <c r="D100" s="24" t="s">
        <v>254</v>
      </c>
      <c r="E100" s="12">
        <v>45574</v>
      </c>
      <c r="F100" s="12">
        <f t="shared" si="4"/>
        <v>45574</v>
      </c>
      <c r="G100" s="64">
        <f>4573387786</f>
        <v>4573387786</v>
      </c>
      <c r="H100" s="62"/>
      <c r="I100" s="63">
        <f>G100+790821724+20000-10000000</f>
        <v>5354229510</v>
      </c>
      <c r="J100" s="63">
        <f t="shared" si="5"/>
        <v>5354229510</v>
      </c>
      <c r="K100" s="84" t="s">
        <v>164</v>
      </c>
      <c r="L100" s="11"/>
      <c r="M100" s="10"/>
    </row>
    <row r="101" spans="1:13">
      <c r="A101" s="10"/>
      <c r="B101">
        <v>41</v>
      </c>
      <c r="C101" s="61" t="s">
        <v>166</v>
      </c>
      <c r="D101" s="24" t="s">
        <v>255</v>
      </c>
      <c r="E101" s="12">
        <v>45601</v>
      </c>
      <c r="F101" s="12">
        <f t="shared" si="4"/>
        <v>45601</v>
      </c>
      <c r="G101" s="70">
        <v>161081929</v>
      </c>
      <c r="H101" s="62"/>
      <c r="I101" s="63">
        <f>G101-912000+19918555.98+3357663+20000</f>
        <v>183466147.97999999</v>
      </c>
      <c r="J101" s="63">
        <f t="shared" si="5"/>
        <v>183466147.97999999</v>
      </c>
      <c r="K101" s="84"/>
      <c r="L101" s="11"/>
      <c r="M101" s="10"/>
    </row>
    <row r="102" spans="1:13">
      <c r="A102" s="10"/>
      <c r="B102">
        <v>23</v>
      </c>
      <c r="C102" s="61" t="s">
        <v>166</v>
      </c>
      <c r="D102" s="68" t="s">
        <v>256</v>
      </c>
      <c r="E102" s="12">
        <v>45601</v>
      </c>
      <c r="F102" s="12">
        <v>45601</v>
      </c>
      <c r="G102" s="69">
        <v>71461479</v>
      </c>
      <c r="H102" s="12">
        <v>45601</v>
      </c>
      <c r="I102" s="69">
        <f>71461479+4754607.18+20000</f>
        <v>76236086.180000007</v>
      </c>
      <c r="J102" s="63">
        <f t="shared" si="5"/>
        <v>76236086.180000007</v>
      </c>
      <c r="K102" s="84"/>
      <c r="L102" s="11"/>
      <c r="M102" s="10"/>
    </row>
    <row r="103" spans="1:13">
      <c r="A103" s="10"/>
      <c r="B103">
        <v>13</v>
      </c>
      <c r="C103" s="61" t="s">
        <v>166</v>
      </c>
      <c r="D103" s="24" t="s">
        <v>257</v>
      </c>
      <c r="E103" s="12">
        <v>45601</v>
      </c>
      <c r="F103" s="12">
        <v>45601</v>
      </c>
      <c r="G103" s="70">
        <v>56251396</v>
      </c>
      <c r="H103" s="71"/>
      <c r="I103" s="70">
        <f>56251396+10524250+20000</f>
        <v>66795646</v>
      </c>
      <c r="J103" s="63">
        <f t="shared" si="5"/>
        <v>66795646</v>
      </c>
      <c r="K103" s="84"/>
      <c r="L103" s="11"/>
      <c r="M103" s="10"/>
    </row>
    <row r="104" spans="1:13">
      <c r="A104" s="10"/>
      <c r="B104">
        <v>13</v>
      </c>
      <c r="C104" s="61" t="s">
        <v>170</v>
      </c>
      <c r="D104" s="24" t="s">
        <v>258</v>
      </c>
      <c r="E104" s="12">
        <v>45601</v>
      </c>
      <c r="F104" s="12">
        <v>45601</v>
      </c>
      <c r="G104" s="70">
        <v>102481336</v>
      </c>
      <c r="H104" s="71"/>
      <c r="I104" s="72">
        <f>G104+6621890+20000</f>
        <v>109123226</v>
      </c>
      <c r="J104" s="63">
        <f t="shared" si="5"/>
        <v>109123226</v>
      </c>
      <c r="K104" s="84"/>
      <c r="L104" s="11"/>
      <c r="M104" s="10"/>
    </row>
    <row r="105" spans="1:13">
      <c r="A105" s="10"/>
      <c r="B105">
        <v>9</v>
      </c>
      <c r="C105" s="61" t="s">
        <v>141</v>
      </c>
      <c r="D105" s="24" t="s">
        <v>259</v>
      </c>
      <c r="E105" s="12">
        <v>45601</v>
      </c>
      <c r="F105" s="12">
        <v>45601</v>
      </c>
      <c r="G105" s="70">
        <v>216419265</v>
      </c>
      <c r="H105" s="71"/>
      <c r="I105" s="72">
        <f>G105+1812821+20000</f>
        <v>218252086</v>
      </c>
      <c r="J105" s="63">
        <f t="shared" si="5"/>
        <v>218252086</v>
      </c>
      <c r="K105" s="84"/>
      <c r="L105" s="11"/>
      <c r="M105" s="10"/>
    </row>
    <row r="106" spans="1:13">
      <c r="A106" s="10"/>
      <c r="B106">
        <v>13</v>
      </c>
      <c r="C106" s="61" t="s">
        <v>166</v>
      </c>
      <c r="D106" s="24" t="s">
        <v>260</v>
      </c>
      <c r="E106" s="12">
        <v>45614</v>
      </c>
      <c r="F106" s="12">
        <v>45614</v>
      </c>
      <c r="G106" s="70">
        <v>39700000</v>
      </c>
      <c r="H106" s="71"/>
      <c r="I106" s="72">
        <f>4070000+2179000+3685000+1977000+1743000+2187000+4816000+6812000+7830000+6261000-1860000-100000+20000</f>
        <v>39620000</v>
      </c>
      <c r="J106" s="63">
        <f>I106</f>
        <v>39620000</v>
      </c>
      <c r="K106" s="84"/>
      <c r="L106" s="11"/>
      <c r="M106" s="10"/>
    </row>
    <row r="107" spans="1:13">
      <c r="A107" s="10"/>
      <c r="B107">
        <v>17</v>
      </c>
      <c r="C107" s="61" t="s">
        <v>166</v>
      </c>
      <c r="D107" s="24" t="s">
        <v>172</v>
      </c>
      <c r="E107" s="12">
        <v>45641</v>
      </c>
      <c r="F107" s="12">
        <v>45641</v>
      </c>
      <c r="G107" s="70">
        <v>2139450409</v>
      </c>
      <c r="H107" s="71"/>
      <c r="I107" s="72">
        <f>2139450409-65000000-280000000-661100000-60000000-3000000-7671812+10671812+20000</f>
        <v>1073370409</v>
      </c>
      <c r="J107" s="63">
        <f>I107</f>
        <v>1073370409</v>
      </c>
      <c r="K107" s="84"/>
      <c r="L107" s="11"/>
      <c r="M107" s="10"/>
    </row>
    <row r="108" spans="1:13">
      <c r="A108" s="10"/>
      <c r="B108">
        <v>25</v>
      </c>
      <c r="C108" s="61" t="s">
        <v>166</v>
      </c>
      <c r="D108" s="24" t="s">
        <v>174</v>
      </c>
      <c r="E108" s="12">
        <v>45643</v>
      </c>
      <c r="F108" s="12">
        <v>45643</v>
      </c>
      <c r="G108" s="70">
        <v>91965117.549999997</v>
      </c>
      <c r="H108" s="71"/>
      <c r="I108" s="70">
        <f>91965117.55+513500</f>
        <v>92478617.549999997</v>
      </c>
      <c r="J108" s="63">
        <f>I108</f>
        <v>92478617.549999997</v>
      </c>
      <c r="K108" s="84"/>
      <c r="L108" s="11"/>
      <c r="M108" s="10"/>
    </row>
    <row r="109" spans="1:13">
      <c r="A109" s="10"/>
      <c r="B109">
        <v>9</v>
      </c>
      <c r="C109" s="61" t="s">
        <v>166</v>
      </c>
      <c r="D109" s="24" t="s">
        <v>261</v>
      </c>
      <c r="E109" s="73" t="s">
        <v>297</v>
      </c>
      <c r="F109" s="73" t="str">
        <f>E109</f>
        <v>:30-12-2024</v>
      </c>
      <c r="G109" s="91">
        <v>834135214</v>
      </c>
      <c r="H109" s="91"/>
      <c r="I109" s="91">
        <f>715959829+13447943+104727442</f>
        <v>834135214</v>
      </c>
      <c r="J109" s="91">
        <f>I109</f>
        <v>834135214</v>
      </c>
      <c r="K109" s="84"/>
      <c r="L109" s="11"/>
      <c r="M109" s="1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148"/>
  <sheetViews>
    <sheetView topLeftCell="A125" workbookViewId="0">
      <selection activeCell="H2" sqref="H2:I146"/>
    </sheetView>
  </sheetViews>
  <sheetFormatPr defaultRowHeight="15"/>
  <cols>
    <col min="1" max="1" width="46.7109375" style="198" bestFit="1" customWidth="1"/>
    <col min="2" max="2" width="4" bestFit="1" customWidth="1"/>
    <col min="3" max="3" width="40.28515625" bestFit="1" customWidth="1"/>
    <col min="4" max="4" width="4" bestFit="1" customWidth="1"/>
    <col min="5" max="5" width="8.42578125" bestFit="1" customWidth="1"/>
    <col min="8" max="8" width="4" bestFit="1" customWidth="1"/>
    <col min="9" max="9" width="33.140625" bestFit="1" customWidth="1"/>
  </cols>
  <sheetData>
    <row r="2" spans="3:9">
      <c r="C2" t="s">
        <v>623</v>
      </c>
      <c r="D2">
        <v>1</v>
      </c>
      <c r="E2">
        <f>VLOOKUP(TRIM(C2),A:B, 2, FALSE)</f>
        <v>56</v>
      </c>
      <c r="H2" t="s">
        <v>175</v>
      </c>
      <c r="I2" t="s">
        <v>1380</v>
      </c>
    </row>
    <row r="3" spans="3:9">
      <c r="C3" t="s">
        <v>623</v>
      </c>
      <c r="D3">
        <v>2</v>
      </c>
      <c r="E3">
        <f t="shared" ref="E3:E66" si="0">VLOOKUP(TRIM(C3),A:B, 2, FALSE)</f>
        <v>56</v>
      </c>
      <c r="H3">
        <v>1</v>
      </c>
      <c r="I3" t="s">
        <v>151</v>
      </c>
    </row>
    <row r="4" spans="3:9">
      <c r="C4" t="s">
        <v>623</v>
      </c>
      <c r="D4">
        <v>3</v>
      </c>
      <c r="E4">
        <f t="shared" si="0"/>
        <v>56</v>
      </c>
      <c r="H4">
        <v>2</v>
      </c>
      <c r="I4" t="s">
        <v>101</v>
      </c>
    </row>
    <row r="5" spans="3:9">
      <c r="C5" t="s">
        <v>970</v>
      </c>
      <c r="D5">
        <v>4</v>
      </c>
      <c r="E5">
        <f t="shared" si="0"/>
        <v>57</v>
      </c>
      <c r="H5">
        <v>3</v>
      </c>
      <c r="I5" t="s">
        <v>132</v>
      </c>
    </row>
    <row r="6" spans="3:9">
      <c r="C6" t="s">
        <v>973</v>
      </c>
      <c r="D6">
        <v>5</v>
      </c>
      <c r="E6">
        <f t="shared" si="0"/>
        <v>58</v>
      </c>
      <c r="H6">
        <v>4</v>
      </c>
      <c r="I6" t="s">
        <v>155</v>
      </c>
    </row>
    <row r="7" spans="3:9">
      <c r="C7" t="s">
        <v>973</v>
      </c>
      <c r="D7">
        <v>6</v>
      </c>
      <c r="E7">
        <f t="shared" si="0"/>
        <v>58</v>
      </c>
      <c r="H7">
        <v>5</v>
      </c>
      <c r="I7" t="s">
        <v>118</v>
      </c>
    </row>
    <row r="8" spans="3:9">
      <c r="C8" t="s">
        <v>977</v>
      </c>
      <c r="D8">
        <v>7</v>
      </c>
      <c r="E8">
        <f t="shared" si="0"/>
        <v>59</v>
      </c>
      <c r="H8">
        <v>6</v>
      </c>
      <c r="I8" t="s">
        <v>116</v>
      </c>
    </row>
    <row r="9" spans="3:9">
      <c r="C9" t="s">
        <v>980</v>
      </c>
      <c r="D9">
        <v>8</v>
      </c>
      <c r="E9">
        <f t="shared" si="0"/>
        <v>60</v>
      </c>
      <c r="H9">
        <v>7</v>
      </c>
      <c r="I9" t="s">
        <v>90</v>
      </c>
    </row>
    <row r="10" spans="3:9">
      <c r="C10" t="s">
        <v>982</v>
      </c>
      <c r="D10">
        <v>9</v>
      </c>
      <c r="E10">
        <f t="shared" si="0"/>
        <v>61</v>
      </c>
      <c r="H10">
        <v>8</v>
      </c>
      <c r="I10" t="s">
        <v>167</v>
      </c>
    </row>
    <row r="11" spans="3:9">
      <c r="C11" t="s">
        <v>982</v>
      </c>
      <c r="D11">
        <v>10</v>
      </c>
      <c r="E11">
        <f t="shared" si="0"/>
        <v>61</v>
      </c>
      <c r="H11">
        <v>9</v>
      </c>
      <c r="I11" t="s">
        <v>165</v>
      </c>
    </row>
    <row r="12" spans="3:9">
      <c r="C12" t="s">
        <v>987</v>
      </c>
      <c r="D12">
        <v>11</v>
      </c>
      <c r="E12">
        <f t="shared" si="0"/>
        <v>62</v>
      </c>
      <c r="H12">
        <v>10</v>
      </c>
      <c r="I12" t="s">
        <v>62</v>
      </c>
    </row>
    <row r="13" spans="3:9">
      <c r="C13" t="s">
        <v>991</v>
      </c>
      <c r="D13">
        <v>12</v>
      </c>
      <c r="E13">
        <f t="shared" si="0"/>
        <v>63</v>
      </c>
      <c r="H13">
        <v>11</v>
      </c>
      <c r="I13" t="s">
        <v>38</v>
      </c>
    </row>
    <row r="14" spans="3:9">
      <c r="C14" t="s">
        <v>995</v>
      </c>
      <c r="D14">
        <v>13</v>
      </c>
      <c r="E14">
        <v>64</v>
      </c>
      <c r="H14">
        <v>12</v>
      </c>
      <c r="I14" t="s">
        <v>23</v>
      </c>
    </row>
    <row r="15" spans="3:9">
      <c r="C15" t="s">
        <v>999</v>
      </c>
      <c r="D15">
        <v>14</v>
      </c>
      <c r="E15">
        <f t="shared" si="0"/>
        <v>65</v>
      </c>
      <c r="H15">
        <v>13</v>
      </c>
      <c r="I15" t="s">
        <v>139</v>
      </c>
    </row>
    <row r="16" spans="3:9">
      <c r="C16" t="s">
        <v>1002</v>
      </c>
      <c r="D16">
        <v>15</v>
      </c>
      <c r="E16">
        <f t="shared" si="0"/>
        <v>66</v>
      </c>
      <c r="H16">
        <v>14</v>
      </c>
      <c r="I16" t="s">
        <v>75</v>
      </c>
    </row>
    <row r="17" spans="3:9">
      <c r="C17" t="s">
        <v>1408</v>
      </c>
      <c r="D17">
        <v>16</v>
      </c>
      <c r="E17">
        <f>VLOOKUP(TRIM(C17),A:B, 2, FALSE)</f>
        <v>67</v>
      </c>
      <c r="H17">
        <v>15</v>
      </c>
      <c r="I17" t="s">
        <v>31</v>
      </c>
    </row>
    <row r="18" spans="3:9">
      <c r="C18" t="s">
        <v>1007</v>
      </c>
      <c r="D18">
        <v>17</v>
      </c>
      <c r="E18">
        <f t="shared" si="0"/>
        <v>68</v>
      </c>
      <c r="H18">
        <v>16</v>
      </c>
      <c r="I18" t="s">
        <v>112</v>
      </c>
    </row>
    <row r="19" spans="3:9">
      <c r="C19" t="s">
        <v>1010</v>
      </c>
      <c r="D19">
        <v>18</v>
      </c>
      <c r="E19">
        <f t="shared" si="0"/>
        <v>69</v>
      </c>
      <c r="H19">
        <v>17</v>
      </c>
      <c r="I19" t="s">
        <v>1381</v>
      </c>
    </row>
    <row r="20" spans="3:9">
      <c r="C20" t="s">
        <v>1013</v>
      </c>
      <c r="D20">
        <v>19</v>
      </c>
      <c r="E20">
        <f t="shared" si="0"/>
        <v>70</v>
      </c>
      <c r="H20">
        <v>18</v>
      </c>
      <c r="I20" t="s">
        <v>94</v>
      </c>
    </row>
    <row r="21" spans="3:9">
      <c r="C21" t="s">
        <v>1010</v>
      </c>
      <c r="D21">
        <v>20</v>
      </c>
      <c r="E21">
        <f t="shared" si="0"/>
        <v>69</v>
      </c>
      <c r="H21">
        <v>19</v>
      </c>
      <c r="I21" t="s">
        <v>1</v>
      </c>
    </row>
    <row r="22" spans="3:9">
      <c r="C22" t="s">
        <v>1019</v>
      </c>
      <c r="D22">
        <v>21</v>
      </c>
      <c r="E22">
        <f t="shared" si="0"/>
        <v>72</v>
      </c>
      <c r="H22">
        <v>20</v>
      </c>
      <c r="I22" t="s">
        <v>15</v>
      </c>
    </row>
    <row r="23" spans="3:9">
      <c r="C23" t="s">
        <v>1013</v>
      </c>
      <c r="D23">
        <v>22</v>
      </c>
      <c r="E23">
        <f t="shared" si="0"/>
        <v>70</v>
      </c>
      <c r="H23">
        <v>21</v>
      </c>
      <c r="I23" t="s">
        <v>11</v>
      </c>
    </row>
    <row r="24" spans="3:9">
      <c r="C24" t="s">
        <v>133</v>
      </c>
      <c r="D24">
        <v>23</v>
      </c>
      <c r="E24">
        <f t="shared" si="0"/>
        <v>74</v>
      </c>
      <c r="H24">
        <v>22</v>
      </c>
      <c r="I24" t="s">
        <v>107</v>
      </c>
    </row>
    <row r="25" spans="3:9">
      <c r="C25" t="s">
        <v>133</v>
      </c>
      <c r="D25">
        <v>24</v>
      </c>
      <c r="E25">
        <f t="shared" si="0"/>
        <v>74</v>
      </c>
      <c r="H25">
        <v>23</v>
      </c>
      <c r="I25" t="s">
        <v>1382</v>
      </c>
    </row>
    <row r="26" spans="3:9">
      <c r="C26" t="s">
        <v>132</v>
      </c>
      <c r="D26">
        <v>25</v>
      </c>
      <c r="E26">
        <f t="shared" si="0"/>
        <v>75</v>
      </c>
      <c r="H26">
        <v>24</v>
      </c>
      <c r="I26" t="s">
        <v>159</v>
      </c>
    </row>
    <row r="27" spans="3:9">
      <c r="C27" t="s">
        <v>132</v>
      </c>
      <c r="D27">
        <v>26</v>
      </c>
      <c r="E27">
        <f t="shared" si="0"/>
        <v>75</v>
      </c>
      <c r="H27">
        <v>25</v>
      </c>
      <c r="I27" t="s">
        <v>162</v>
      </c>
    </row>
    <row r="28" spans="3:9">
      <c r="C28" t="s">
        <v>126</v>
      </c>
      <c r="D28">
        <v>27</v>
      </c>
      <c r="E28">
        <f t="shared" si="0"/>
        <v>76</v>
      </c>
      <c r="H28">
        <v>26</v>
      </c>
      <c r="I28" t="s">
        <v>128</v>
      </c>
    </row>
    <row r="29" spans="3:9">
      <c r="C29" t="s">
        <v>126</v>
      </c>
      <c r="D29">
        <v>28</v>
      </c>
      <c r="E29">
        <f t="shared" si="0"/>
        <v>76</v>
      </c>
      <c r="H29">
        <v>27</v>
      </c>
      <c r="I29" t="s">
        <v>130</v>
      </c>
    </row>
    <row r="30" spans="3:9">
      <c r="D30">
        <v>29</v>
      </c>
      <c r="E30" t="e">
        <f t="shared" si="0"/>
        <v>#N/A</v>
      </c>
      <c r="H30">
        <v>28</v>
      </c>
      <c r="I30" t="s">
        <v>71</v>
      </c>
    </row>
    <row r="31" spans="3:9">
      <c r="C31" t="s">
        <v>1041</v>
      </c>
      <c r="D31">
        <v>30</v>
      </c>
      <c r="E31">
        <f t="shared" si="0"/>
        <v>77</v>
      </c>
      <c r="H31">
        <v>29</v>
      </c>
      <c r="I31" t="s">
        <v>121</v>
      </c>
    </row>
    <row r="32" spans="3:9">
      <c r="C32" t="s">
        <v>1041</v>
      </c>
      <c r="D32">
        <v>31</v>
      </c>
      <c r="E32">
        <f t="shared" si="0"/>
        <v>77</v>
      </c>
      <c r="H32">
        <v>30</v>
      </c>
      <c r="I32" t="s">
        <v>114</v>
      </c>
    </row>
    <row r="33" spans="3:9">
      <c r="C33" t="s">
        <v>1041</v>
      </c>
      <c r="D33">
        <v>32</v>
      </c>
      <c r="E33">
        <f t="shared" si="0"/>
        <v>77</v>
      </c>
      <c r="H33">
        <v>31</v>
      </c>
      <c r="I33" t="s">
        <v>109</v>
      </c>
    </row>
    <row r="34" spans="3:9">
      <c r="C34" t="s">
        <v>1041</v>
      </c>
      <c r="D34">
        <v>33</v>
      </c>
      <c r="E34">
        <f t="shared" si="0"/>
        <v>77</v>
      </c>
      <c r="H34">
        <v>32</v>
      </c>
      <c r="I34" t="s">
        <v>106</v>
      </c>
    </row>
    <row r="35" spans="3:9">
      <c r="C35" t="s">
        <v>1048</v>
      </c>
      <c r="D35">
        <v>34</v>
      </c>
      <c r="E35">
        <f t="shared" si="0"/>
        <v>78</v>
      </c>
      <c r="H35">
        <v>33</v>
      </c>
      <c r="I35" t="s">
        <v>104</v>
      </c>
    </row>
    <row r="36" spans="3:9">
      <c r="C36" t="s">
        <v>1050</v>
      </c>
      <c r="D36">
        <v>35</v>
      </c>
      <c r="E36">
        <f t="shared" si="0"/>
        <v>79</v>
      </c>
      <c r="H36">
        <v>34</v>
      </c>
      <c r="I36" t="s">
        <v>157</v>
      </c>
    </row>
    <row r="37" spans="3:9">
      <c r="C37" t="s">
        <v>1052</v>
      </c>
      <c r="D37">
        <v>36</v>
      </c>
      <c r="E37">
        <f t="shared" si="0"/>
        <v>80</v>
      </c>
      <c r="H37">
        <v>35</v>
      </c>
      <c r="I37" t="s">
        <v>34</v>
      </c>
    </row>
    <row r="38" spans="3:9">
      <c r="C38" t="s">
        <v>1052</v>
      </c>
      <c r="D38">
        <v>37</v>
      </c>
      <c r="E38">
        <f t="shared" si="0"/>
        <v>80</v>
      </c>
      <c r="H38">
        <v>36</v>
      </c>
      <c r="I38" t="s">
        <v>18</v>
      </c>
    </row>
    <row r="39" spans="3:9">
      <c r="C39" t="s">
        <v>1052</v>
      </c>
      <c r="D39">
        <v>38</v>
      </c>
      <c r="E39">
        <f t="shared" si="0"/>
        <v>80</v>
      </c>
      <c r="H39">
        <v>37</v>
      </c>
      <c r="I39" t="s">
        <v>82</v>
      </c>
    </row>
    <row r="40" spans="3:9">
      <c r="C40" t="s">
        <v>1041</v>
      </c>
      <c r="D40">
        <v>39</v>
      </c>
      <c r="E40">
        <f t="shared" si="0"/>
        <v>77</v>
      </c>
      <c r="H40">
        <v>38</v>
      </c>
      <c r="I40" t="s">
        <v>129</v>
      </c>
    </row>
    <row r="41" spans="3:9">
      <c r="C41" t="s">
        <v>517</v>
      </c>
      <c r="D41">
        <v>40</v>
      </c>
      <c r="E41">
        <f t="shared" si="0"/>
        <v>82</v>
      </c>
      <c r="H41">
        <v>39</v>
      </c>
      <c r="I41" t="s">
        <v>86</v>
      </c>
    </row>
    <row r="42" spans="3:9">
      <c r="C42" t="s">
        <v>517</v>
      </c>
      <c r="D42">
        <v>41</v>
      </c>
      <c r="E42">
        <f t="shared" si="0"/>
        <v>82</v>
      </c>
      <c r="H42">
        <v>40</v>
      </c>
      <c r="I42" t="s">
        <v>88</v>
      </c>
    </row>
    <row r="43" spans="3:9">
      <c r="C43" t="s">
        <v>527</v>
      </c>
      <c r="D43">
        <v>42</v>
      </c>
      <c r="E43">
        <f t="shared" si="0"/>
        <v>83</v>
      </c>
      <c r="H43">
        <v>41</v>
      </c>
      <c r="I43" t="s">
        <v>1383</v>
      </c>
    </row>
    <row r="44" spans="3:9">
      <c r="C44" t="s">
        <v>1066</v>
      </c>
      <c r="D44">
        <v>43</v>
      </c>
      <c r="E44">
        <f t="shared" si="0"/>
        <v>84</v>
      </c>
      <c r="H44">
        <v>42</v>
      </c>
      <c r="I44" t="s">
        <v>124</v>
      </c>
    </row>
    <row r="45" spans="3:9">
      <c r="C45" t="s">
        <v>1066</v>
      </c>
      <c r="D45">
        <v>44</v>
      </c>
      <c r="E45">
        <f t="shared" si="0"/>
        <v>84</v>
      </c>
      <c r="H45">
        <v>43</v>
      </c>
      <c r="I45" t="s">
        <v>26</v>
      </c>
    </row>
    <row r="46" spans="3:9">
      <c r="C46" t="s">
        <v>1066</v>
      </c>
      <c r="D46">
        <v>45</v>
      </c>
      <c r="E46">
        <f t="shared" si="0"/>
        <v>84</v>
      </c>
      <c r="H46">
        <v>44</v>
      </c>
      <c r="I46" t="s">
        <v>145</v>
      </c>
    </row>
    <row r="47" spans="3:9">
      <c r="C47" t="s">
        <v>1066</v>
      </c>
      <c r="D47">
        <v>46</v>
      </c>
      <c r="E47">
        <f t="shared" si="0"/>
        <v>84</v>
      </c>
      <c r="H47">
        <v>45</v>
      </c>
      <c r="I47" t="s">
        <v>144</v>
      </c>
    </row>
    <row r="48" spans="3:9">
      <c r="C48" t="s">
        <v>1066</v>
      </c>
      <c r="D48">
        <v>47</v>
      </c>
      <c r="E48">
        <f t="shared" si="0"/>
        <v>84</v>
      </c>
      <c r="H48">
        <v>46</v>
      </c>
      <c r="I48" t="s">
        <v>143</v>
      </c>
    </row>
    <row r="49" spans="1:9">
      <c r="C49" t="s">
        <v>1066</v>
      </c>
      <c r="D49">
        <v>48</v>
      </c>
      <c r="E49">
        <f t="shared" si="0"/>
        <v>84</v>
      </c>
      <c r="H49">
        <v>47</v>
      </c>
      <c r="I49" t="s">
        <v>149</v>
      </c>
    </row>
    <row r="50" spans="1:9">
      <c r="C50" t="s">
        <v>1066</v>
      </c>
      <c r="D50">
        <v>49</v>
      </c>
      <c r="E50">
        <f t="shared" si="0"/>
        <v>84</v>
      </c>
      <c r="H50">
        <v>48</v>
      </c>
      <c r="I50" t="s">
        <v>188</v>
      </c>
    </row>
    <row r="51" spans="1:9">
      <c r="C51" t="s">
        <v>531</v>
      </c>
      <c r="D51">
        <v>50</v>
      </c>
      <c r="E51">
        <f t="shared" si="0"/>
        <v>85</v>
      </c>
      <c r="H51">
        <v>49</v>
      </c>
      <c r="I51" t="s">
        <v>153</v>
      </c>
    </row>
    <row r="52" spans="1:9">
      <c r="C52" t="s">
        <v>71</v>
      </c>
      <c r="D52">
        <v>51</v>
      </c>
      <c r="E52">
        <f t="shared" si="0"/>
        <v>86</v>
      </c>
      <c r="H52">
        <v>50</v>
      </c>
      <c r="I52" t="s">
        <v>136</v>
      </c>
    </row>
    <row r="53" spans="1:9">
      <c r="C53" t="s">
        <v>71</v>
      </c>
      <c r="D53">
        <v>52</v>
      </c>
      <c r="E53">
        <f t="shared" si="0"/>
        <v>86</v>
      </c>
      <c r="H53">
        <v>51</v>
      </c>
      <c r="I53" t="s">
        <v>29</v>
      </c>
    </row>
    <row r="54" spans="1:9">
      <c r="C54" t="s">
        <v>1081</v>
      </c>
      <c r="D54">
        <v>53</v>
      </c>
      <c r="E54">
        <f t="shared" si="0"/>
        <v>87</v>
      </c>
      <c r="H54">
        <v>52</v>
      </c>
      <c r="I54" t="s">
        <v>126</v>
      </c>
    </row>
    <row r="55" spans="1:9">
      <c r="C55" t="s">
        <v>1081</v>
      </c>
      <c r="D55">
        <v>54</v>
      </c>
      <c r="E55">
        <f t="shared" si="0"/>
        <v>87</v>
      </c>
      <c r="H55">
        <v>53</v>
      </c>
      <c r="I55" t="s">
        <v>160</v>
      </c>
    </row>
    <row r="56" spans="1:9">
      <c r="C56" t="s">
        <v>1081</v>
      </c>
      <c r="D56">
        <v>55</v>
      </c>
      <c r="E56">
        <f t="shared" si="0"/>
        <v>87</v>
      </c>
      <c r="H56">
        <v>54</v>
      </c>
      <c r="I56" t="s">
        <v>1384</v>
      </c>
    </row>
    <row r="57" spans="1:9">
      <c r="C57" t="s">
        <v>1085</v>
      </c>
      <c r="D57">
        <v>56</v>
      </c>
      <c r="E57">
        <f t="shared" si="0"/>
        <v>88</v>
      </c>
      <c r="H57">
        <v>55</v>
      </c>
      <c r="I57" t="s">
        <v>1217</v>
      </c>
    </row>
    <row r="58" spans="1:9">
      <c r="C58" t="s">
        <v>1089</v>
      </c>
      <c r="D58">
        <v>57</v>
      </c>
      <c r="E58">
        <f t="shared" si="0"/>
        <v>89</v>
      </c>
      <c r="H58">
        <v>56</v>
      </c>
      <c r="I58" s="196" t="s">
        <v>623</v>
      </c>
    </row>
    <row r="59" spans="1:9">
      <c r="C59" t="s">
        <v>1092</v>
      </c>
      <c r="D59">
        <v>58</v>
      </c>
      <c r="E59">
        <f t="shared" si="0"/>
        <v>90</v>
      </c>
      <c r="H59">
        <v>57</v>
      </c>
      <c r="I59" t="s">
        <v>970</v>
      </c>
    </row>
    <row r="60" spans="1:9">
      <c r="A60" s="196" t="s">
        <v>623</v>
      </c>
      <c r="B60">
        <v>56</v>
      </c>
      <c r="C60" t="s">
        <v>1095</v>
      </c>
      <c r="D60">
        <v>59</v>
      </c>
      <c r="E60">
        <f t="shared" si="0"/>
        <v>91</v>
      </c>
      <c r="H60">
        <v>58</v>
      </c>
      <c r="I60" t="s">
        <v>973</v>
      </c>
    </row>
    <row r="61" spans="1:9">
      <c r="A61" t="s">
        <v>970</v>
      </c>
      <c r="B61">
        <v>57</v>
      </c>
      <c r="C61" t="s">
        <v>1098</v>
      </c>
      <c r="D61">
        <v>60</v>
      </c>
      <c r="E61">
        <f t="shared" si="0"/>
        <v>92</v>
      </c>
      <c r="H61">
        <v>59</v>
      </c>
      <c r="I61" t="s">
        <v>977</v>
      </c>
    </row>
    <row r="62" spans="1:9">
      <c r="A62" t="s">
        <v>973</v>
      </c>
      <c r="B62">
        <v>58</v>
      </c>
      <c r="C62" t="s">
        <v>1100</v>
      </c>
      <c r="D62">
        <v>61</v>
      </c>
      <c r="E62">
        <f t="shared" si="0"/>
        <v>93</v>
      </c>
      <c r="H62">
        <v>60</v>
      </c>
      <c r="I62" t="s">
        <v>980</v>
      </c>
    </row>
    <row r="63" spans="1:9">
      <c r="A63" t="s">
        <v>977</v>
      </c>
      <c r="B63">
        <v>59</v>
      </c>
      <c r="C63" t="s">
        <v>1104</v>
      </c>
      <c r="D63">
        <v>62</v>
      </c>
      <c r="E63">
        <f t="shared" si="0"/>
        <v>94</v>
      </c>
      <c r="H63">
        <v>61</v>
      </c>
      <c r="I63" t="s">
        <v>982</v>
      </c>
    </row>
    <row r="64" spans="1:9">
      <c r="A64" t="s">
        <v>980</v>
      </c>
      <c r="B64">
        <v>60</v>
      </c>
      <c r="C64" t="s">
        <v>506</v>
      </c>
      <c r="D64">
        <v>63</v>
      </c>
      <c r="E64">
        <f t="shared" si="0"/>
        <v>95</v>
      </c>
      <c r="H64">
        <v>62</v>
      </c>
      <c r="I64" t="s">
        <v>987</v>
      </c>
    </row>
    <row r="65" spans="1:9">
      <c r="A65" t="s">
        <v>982</v>
      </c>
      <c r="B65">
        <v>61</v>
      </c>
      <c r="C65" t="s">
        <v>112</v>
      </c>
      <c r="D65">
        <v>64</v>
      </c>
      <c r="E65">
        <f t="shared" si="0"/>
        <v>96</v>
      </c>
      <c r="H65">
        <v>63</v>
      </c>
      <c r="I65" t="s">
        <v>991</v>
      </c>
    </row>
    <row r="66" spans="1:9">
      <c r="A66" t="s">
        <v>987</v>
      </c>
      <c r="B66">
        <v>62</v>
      </c>
      <c r="C66" t="s">
        <v>1111</v>
      </c>
      <c r="D66">
        <v>65</v>
      </c>
      <c r="E66">
        <f t="shared" si="0"/>
        <v>97</v>
      </c>
      <c r="H66">
        <v>64</v>
      </c>
      <c r="I66" t="s">
        <v>995</v>
      </c>
    </row>
    <row r="67" spans="1:9">
      <c r="A67" t="s">
        <v>991</v>
      </c>
      <c r="B67">
        <v>63</v>
      </c>
      <c r="C67" t="s">
        <v>106</v>
      </c>
      <c r="D67">
        <v>66</v>
      </c>
      <c r="E67">
        <f t="shared" ref="E67:E121" si="1">VLOOKUP(TRIM(C67),A:B, 2, FALSE)</f>
        <v>98</v>
      </c>
      <c r="H67">
        <v>65</v>
      </c>
      <c r="I67" t="s">
        <v>999</v>
      </c>
    </row>
    <row r="68" spans="1:9">
      <c r="A68" t="s">
        <v>995</v>
      </c>
      <c r="B68">
        <v>64</v>
      </c>
      <c r="C68" t="s">
        <v>109</v>
      </c>
      <c r="D68">
        <v>67</v>
      </c>
      <c r="E68">
        <f t="shared" si="1"/>
        <v>92</v>
      </c>
      <c r="H68">
        <v>66</v>
      </c>
      <c r="I68" t="s">
        <v>1385</v>
      </c>
    </row>
    <row r="69" spans="1:9">
      <c r="A69" t="s">
        <v>999</v>
      </c>
      <c r="B69">
        <v>65</v>
      </c>
      <c r="C69" t="s">
        <v>112</v>
      </c>
      <c r="D69">
        <v>68</v>
      </c>
      <c r="E69">
        <f t="shared" si="1"/>
        <v>96</v>
      </c>
      <c r="H69">
        <v>67</v>
      </c>
      <c r="I69" t="s">
        <v>1408</v>
      </c>
    </row>
    <row r="70" spans="1:9">
      <c r="A70" t="s">
        <v>1385</v>
      </c>
      <c r="B70">
        <v>66</v>
      </c>
      <c r="C70" t="s">
        <v>1406</v>
      </c>
      <c r="D70">
        <v>69</v>
      </c>
      <c r="E70" t="e">
        <f t="shared" si="1"/>
        <v>#N/A</v>
      </c>
      <c r="H70">
        <v>68</v>
      </c>
      <c r="I70" t="s">
        <v>1409</v>
      </c>
    </row>
    <row r="71" spans="1:9">
      <c r="A71" t="s">
        <v>1408</v>
      </c>
      <c r="B71">
        <v>67</v>
      </c>
      <c r="C71" t="s">
        <v>1123</v>
      </c>
      <c r="D71">
        <v>70</v>
      </c>
      <c r="E71">
        <f t="shared" si="1"/>
        <v>102</v>
      </c>
      <c r="H71">
        <v>69</v>
      </c>
      <c r="I71" t="s">
        <v>1010</v>
      </c>
    </row>
    <row r="72" spans="1:9">
      <c r="A72" t="s">
        <v>1409</v>
      </c>
      <c r="B72">
        <v>68</v>
      </c>
      <c r="C72" t="s">
        <v>1123</v>
      </c>
      <c r="D72">
        <v>71</v>
      </c>
      <c r="E72">
        <f t="shared" si="1"/>
        <v>102</v>
      </c>
      <c r="H72">
        <v>70</v>
      </c>
      <c r="I72" t="s">
        <v>1013</v>
      </c>
    </row>
    <row r="73" spans="1:9">
      <c r="A73" t="s">
        <v>1010</v>
      </c>
      <c r="B73">
        <v>69</v>
      </c>
      <c r="C73" t="s">
        <v>1405</v>
      </c>
      <c r="D73">
        <v>72</v>
      </c>
      <c r="E73" t="e">
        <f t="shared" si="1"/>
        <v>#N/A</v>
      </c>
      <c r="H73">
        <v>71</v>
      </c>
      <c r="I73" t="s">
        <v>1010</v>
      </c>
    </row>
    <row r="74" spans="1:9">
      <c r="A74" t="s">
        <v>1013</v>
      </c>
      <c r="B74">
        <v>70</v>
      </c>
      <c r="C74" t="s">
        <v>1128</v>
      </c>
      <c r="D74">
        <v>73</v>
      </c>
      <c r="E74">
        <f t="shared" si="1"/>
        <v>104</v>
      </c>
      <c r="H74">
        <v>72</v>
      </c>
      <c r="I74" t="s">
        <v>1019</v>
      </c>
    </row>
    <row r="75" spans="1:9">
      <c r="A75" t="s">
        <v>1010</v>
      </c>
      <c r="B75">
        <v>71</v>
      </c>
      <c r="C75" t="s">
        <v>130</v>
      </c>
      <c r="D75">
        <v>74</v>
      </c>
      <c r="E75">
        <f t="shared" si="1"/>
        <v>105</v>
      </c>
      <c r="H75">
        <v>73</v>
      </c>
      <c r="I75" t="s">
        <v>1013</v>
      </c>
    </row>
    <row r="76" spans="1:9">
      <c r="A76" t="s">
        <v>1019</v>
      </c>
      <c r="B76">
        <v>72</v>
      </c>
      <c r="C76" t="s">
        <v>1406</v>
      </c>
      <c r="D76">
        <v>75</v>
      </c>
      <c r="E76" t="e">
        <f t="shared" si="1"/>
        <v>#N/A</v>
      </c>
      <c r="H76">
        <v>74</v>
      </c>
      <c r="I76" t="s">
        <v>1398</v>
      </c>
    </row>
    <row r="77" spans="1:9">
      <c r="A77" t="s">
        <v>1013</v>
      </c>
      <c r="B77">
        <v>73</v>
      </c>
      <c r="C77" t="s">
        <v>1405</v>
      </c>
      <c r="D77">
        <v>76</v>
      </c>
      <c r="E77" t="e">
        <f t="shared" si="1"/>
        <v>#N/A</v>
      </c>
      <c r="H77">
        <v>75</v>
      </c>
      <c r="I77" t="s">
        <v>132</v>
      </c>
    </row>
    <row r="78" spans="1:9">
      <c r="A78" t="s">
        <v>1398</v>
      </c>
      <c r="B78">
        <v>74</v>
      </c>
      <c r="C78" t="s">
        <v>527</v>
      </c>
      <c r="D78">
        <v>77</v>
      </c>
      <c r="E78">
        <f t="shared" si="1"/>
        <v>83</v>
      </c>
      <c r="H78">
        <v>76</v>
      </c>
      <c r="I78" t="s">
        <v>126</v>
      </c>
    </row>
    <row r="79" spans="1:9">
      <c r="A79" t="s">
        <v>132</v>
      </c>
      <c r="B79">
        <v>75</v>
      </c>
      <c r="C79" t="s">
        <v>527</v>
      </c>
      <c r="D79">
        <v>78</v>
      </c>
      <c r="E79">
        <f t="shared" si="1"/>
        <v>83</v>
      </c>
      <c r="H79">
        <v>77</v>
      </c>
      <c r="I79" t="s">
        <v>1041</v>
      </c>
    </row>
    <row r="80" spans="1:9">
      <c r="A80" t="s">
        <v>126</v>
      </c>
      <c r="B80">
        <v>76</v>
      </c>
      <c r="C80" t="s">
        <v>527</v>
      </c>
      <c r="D80">
        <v>79</v>
      </c>
      <c r="E80">
        <f t="shared" si="1"/>
        <v>83</v>
      </c>
      <c r="H80">
        <v>78</v>
      </c>
      <c r="I80" t="s">
        <v>1048</v>
      </c>
    </row>
    <row r="81" spans="1:9">
      <c r="A81" t="s">
        <v>1041</v>
      </c>
      <c r="B81">
        <v>77</v>
      </c>
      <c r="C81" t="s">
        <v>527</v>
      </c>
      <c r="D81">
        <v>80</v>
      </c>
      <c r="E81">
        <f t="shared" si="1"/>
        <v>83</v>
      </c>
      <c r="H81">
        <v>79</v>
      </c>
      <c r="I81" t="s">
        <v>1050</v>
      </c>
    </row>
    <row r="82" spans="1:9">
      <c r="A82" t="s">
        <v>1048</v>
      </c>
      <c r="B82">
        <v>78</v>
      </c>
      <c r="C82" t="s">
        <v>1140</v>
      </c>
      <c r="D82">
        <v>81</v>
      </c>
      <c r="E82">
        <f t="shared" si="1"/>
        <v>75</v>
      </c>
      <c r="H82">
        <v>80</v>
      </c>
      <c r="I82" t="s">
        <v>1052</v>
      </c>
    </row>
    <row r="83" spans="1:9">
      <c r="A83" t="s">
        <v>1050</v>
      </c>
      <c r="B83">
        <v>79</v>
      </c>
      <c r="C83" t="s">
        <v>1145</v>
      </c>
      <c r="D83">
        <v>82</v>
      </c>
      <c r="E83">
        <f t="shared" si="1"/>
        <v>110</v>
      </c>
      <c r="H83">
        <v>81</v>
      </c>
      <c r="I83" t="s">
        <v>1041</v>
      </c>
    </row>
    <row r="84" spans="1:9">
      <c r="A84" t="s">
        <v>1052</v>
      </c>
      <c r="B84">
        <v>80</v>
      </c>
      <c r="C84" t="s">
        <v>1149</v>
      </c>
      <c r="D84">
        <v>83</v>
      </c>
      <c r="E84" t="e">
        <f t="shared" si="1"/>
        <v>#N/A</v>
      </c>
      <c r="H84">
        <v>82</v>
      </c>
      <c r="I84" t="s">
        <v>517</v>
      </c>
    </row>
    <row r="85" spans="1:9">
      <c r="A85" t="s">
        <v>1041</v>
      </c>
      <c r="B85">
        <v>81</v>
      </c>
      <c r="C85" t="s">
        <v>126</v>
      </c>
      <c r="D85">
        <v>84</v>
      </c>
      <c r="E85">
        <f t="shared" si="1"/>
        <v>76</v>
      </c>
      <c r="H85">
        <v>83</v>
      </c>
      <c r="I85" t="s">
        <v>527</v>
      </c>
    </row>
    <row r="86" spans="1:9">
      <c r="A86" t="s">
        <v>517</v>
      </c>
      <c r="B86">
        <v>82</v>
      </c>
      <c r="C86" t="s">
        <v>1153</v>
      </c>
      <c r="D86">
        <v>85</v>
      </c>
      <c r="E86">
        <f t="shared" si="1"/>
        <v>113</v>
      </c>
      <c r="H86">
        <v>84</v>
      </c>
      <c r="I86" t="s">
        <v>1066</v>
      </c>
    </row>
    <row r="87" spans="1:9">
      <c r="A87" t="s">
        <v>527</v>
      </c>
      <c r="B87">
        <v>83</v>
      </c>
      <c r="C87" t="s">
        <v>1155</v>
      </c>
      <c r="D87">
        <v>86</v>
      </c>
      <c r="E87" t="e">
        <f t="shared" si="1"/>
        <v>#N/A</v>
      </c>
      <c r="H87">
        <v>85</v>
      </c>
      <c r="I87" t="s">
        <v>531</v>
      </c>
    </row>
    <row r="88" spans="1:9">
      <c r="A88" t="s">
        <v>1066</v>
      </c>
      <c r="B88">
        <v>84</v>
      </c>
      <c r="C88" t="s">
        <v>1126</v>
      </c>
      <c r="D88">
        <v>87</v>
      </c>
      <c r="E88" t="e">
        <f t="shared" si="1"/>
        <v>#N/A</v>
      </c>
      <c r="H88">
        <v>86</v>
      </c>
      <c r="I88" t="s">
        <v>71</v>
      </c>
    </row>
    <row r="89" spans="1:9">
      <c r="A89" t="s">
        <v>531</v>
      </c>
      <c r="B89">
        <v>85</v>
      </c>
      <c r="C89" t="s">
        <v>1160</v>
      </c>
      <c r="D89">
        <v>88</v>
      </c>
      <c r="E89">
        <f t="shared" si="1"/>
        <v>116</v>
      </c>
      <c r="H89">
        <v>87</v>
      </c>
      <c r="I89" t="s">
        <v>1081</v>
      </c>
    </row>
    <row r="90" spans="1:9">
      <c r="A90" t="s">
        <v>71</v>
      </c>
      <c r="B90">
        <v>86</v>
      </c>
      <c r="C90" t="s">
        <v>1162</v>
      </c>
      <c r="D90">
        <v>89</v>
      </c>
      <c r="E90">
        <f t="shared" si="1"/>
        <v>117</v>
      </c>
      <c r="H90">
        <v>88</v>
      </c>
      <c r="I90" t="s">
        <v>1085</v>
      </c>
    </row>
    <row r="91" spans="1:9">
      <c r="A91" t="s">
        <v>1081</v>
      </c>
      <c r="B91">
        <v>87</v>
      </c>
      <c r="C91" t="s">
        <v>1164</v>
      </c>
      <c r="D91">
        <v>90</v>
      </c>
      <c r="E91" t="e">
        <f t="shared" si="1"/>
        <v>#N/A</v>
      </c>
      <c r="H91">
        <v>89</v>
      </c>
      <c r="I91" t="s">
        <v>1089</v>
      </c>
    </row>
    <row r="92" spans="1:9">
      <c r="A92" t="s">
        <v>1085</v>
      </c>
      <c r="B92">
        <v>88</v>
      </c>
      <c r="C92" t="s">
        <v>1167</v>
      </c>
      <c r="D92">
        <v>91</v>
      </c>
      <c r="E92" t="e">
        <f t="shared" si="1"/>
        <v>#N/A</v>
      </c>
      <c r="H92">
        <v>90</v>
      </c>
      <c r="I92" t="s">
        <v>1092</v>
      </c>
    </row>
    <row r="93" spans="1:9">
      <c r="A93" t="s">
        <v>1089</v>
      </c>
      <c r="B93">
        <v>89</v>
      </c>
      <c r="C93" t="s">
        <v>1170</v>
      </c>
      <c r="D93">
        <v>92</v>
      </c>
      <c r="E93">
        <f t="shared" si="1"/>
        <v>92</v>
      </c>
      <c r="H93">
        <v>91</v>
      </c>
      <c r="I93" t="s">
        <v>1095</v>
      </c>
    </row>
    <row r="94" spans="1:9">
      <c r="A94" t="s">
        <v>1092</v>
      </c>
      <c r="B94">
        <v>90</v>
      </c>
      <c r="C94" t="s">
        <v>1174</v>
      </c>
      <c r="D94">
        <v>93</v>
      </c>
      <c r="E94" t="e">
        <f t="shared" si="1"/>
        <v>#N/A</v>
      </c>
      <c r="H94">
        <v>92</v>
      </c>
      <c r="I94" t="s">
        <v>109</v>
      </c>
    </row>
    <row r="95" spans="1:9">
      <c r="A95" t="s">
        <v>1095</v>
      </c>
      <c r="B95">
        <v>91</v>
      </c>
      <c r="C95" t="s">
        <v>1176</v>
      </c>
      <c r="D95">
        <v>94</v>
      </c>
      <c r="E95" t="e">
        <f t="shared" si="1"/>
        <v>#N/A</v>
      </c>
      <c r="H95">
        <v>93</v>
      </c>
      <c r="I95" t="s">
        <v>1100</v>
      </c>
    </row>
    <row r="96" spans="1:9">
      <c r="A96" t="s">
        <v>109</v>
      </c>
      <c r="B96">
        <v>92</v>
      </c>
      <c r="C96" t="s">
        <v>153</v>
      </c>
      <c r="D96">
        <v>95</v>
      </c>
      <c r="E96" t="e">
        <f t="shared" si="1"/>
        <v>#N/A</v>
      </c>
      <c r="H96">
        <v>94</v>
      </c>
      <c r="I96" t="s">
        <v>1410</v>
      </c>
    </row>
    <row r="97" spans="1:9">
      <c r="A97" t="s">
        <v>1100</v>
      </c>
      <c r="B97">
        <v>93</v>
      </c>
      <c r="C97" t="s">
        <v>1180</v>
      </c>
      <c r="D97">
        <v>96</v>
      </c>
      <c r="E97">
        <f t="shared" si="1"/>
        <v>136</v>
      </c>
      <c r="H97">
        <v>95</v>
      </c>
      <c r="I97" t="s">
        <v>506</v>
      </c>
    </row>
    <row r="98" spans="1:9">
      <c r="A98" t="s">
        <v>1410</v>
      </c>
      <c r="B98">
        <v>94</v>
      </c>
      <c r="C98" t="s">
        <v>1182</v>
      </c>
      <c r="D98">
        <v>97</v>
      </c>
      <c r="E98" t="e">
        <f t="shared" si="1"/>
        <v>#N/A</v>
      </c>
      <c r="H98">
        <v>96</v>
      </c>
      <c r="I98" t="s">
        <v>1388</v>
      </c>
    </row>
    <row r="99" spans="1:9">
      <c r="A99" t="s">
        <v>506</v>
      </c>
      <c r="B99">
        <v>95</v>
      </c>
      <c r="C99" t="s">
        <v>1184</v>
      </c>
      <c r="D99">
        <v>98</v>
      </c>
      <c r="E99">
        <f t="shared" si="1"/>
        <v>131</v>
      </c>
      <c r="H99">
        <v>97</v>
      </c>
      <c r="I99" t="s">
        <v>1411</v>
      </c>
    </row>
    <row r="100" spans="1:9">
      <c r="A100" t="s">
        <v>1388</v>
      </c>
      <c r="B100">
        <v>96</v>
      </c>
      <c r="C100" t="s">
        <v>1180</v>
      </c>
      <c r="D100">
        <v>99</v>
      </c>
      <c r="E100">
        <f t="shared" si="1"/>
        <v>136</v>
      </c>
      <c r="H100">
        <v>98</v>
      </c>
      <c r="I100" t="s">
        <v>1412</v>
      </c>
    </row>
    <row r="101" spans="1:9">
      <c r="A101" t="s">
        <v>1411</v>
      </c>
      <c r="B101">
        <v>97</v>
      </c>
      <c r="C101" t="s">
        <v>1189</v>
      </c>
      <c r="D101">
        <v>100</v>
      </c>
      <c r="E101">
        <f t="shared" si="1"/>
        <v>131</v>
      </c>
      <c r="H101">
        <v>99</v>
      </c>
      <c r="I101" t="s">
        <v>109</v>
      </c>
    </row>
    <row r="102" spans="1:9">
      <c r="A102" t="s">
        <v>1412</v>
      </c>
      <c r="B102">
        <v>98</v>
      </c>
      <c r="C102" t="s">
        <v>1192</v>
      </c>
      <c r="D102">
        <v>101</v>
      </c>
      <c r="E102">
        <f t="shared" si="1"/>
        <v>129</v>
      </c>
      <c r="H102">
        <v>100</v>
      </c>
      <c r="I102" t="s">
        <v>1388</v>
      </c>
    </row>
    <row r="103" spans="1:9">
      <c r="A103" t="s">
        <v>109</v>
      </c>
      <c r="B103">
        <v>99</v>
      </c>
      <c r="C103" t="s">
        <v>1195</v>
      </c>
      <c r="D103">
        <v>102</v>
      </c>
      <c r="E103">
        <f t="shared" si="1"/>
        <v>130</v>
      </c>
      <c r="H103">
        <v>101</v>
      </c>
      <c r="I103" t="s">
        <v>1406</v>
      </c>
    </row>
    <row r="104" spans="1:9">
      <c r="A104" t="s">
        <v>1388</v>
      </c>
      <c r="B104">
        <v>100</v>
      </c>
      <c r="C104" t="s">
        <v>151</v>
      </c>
      <c r="D104">
        <v>103</v>
      </c>
      <c r="E104">
        <f t="shared" si="1"/>
        <v>131</v>
      </c>
      <c r="H104">
        <v>102</v>
      </c>
      <c r="I104" t="s">
        <v>1413</v>
      </c>
    </row>
    <row r="105" spans="1:9">
      <c r="A105" t="s">
        <v>1406</v>
      </c>
      <c r="B105">
        <v>101</v>
      </c>
      <c r="C105" t="s">
        <v>689</v>
      </c>
      <c r="D105">
        <v>104</v>
      </c>
      <c r="E105" t="e">
        <f t="shared" si="1"/>
        <v>#N/A</v>
      </c>
      <c r="H105">
        <v>103</v>
      </c>
      <c r="I105" t="s">
        <v>1405</v>
      </c>
    </row>
    <row r="106" spans="1:9">
      <c r="A106" t="s">
        <v>1413</v>
      </c>
      <c r="B106">
        <v>102</v>
      </c>
      <c r="C106" t="s">
        <v>719</v>
      </c>
      <c r="D106">
        <v>105</v>
      </c>
      <c r="E106">
        <f t="shared" si="1"/>
        <v>133</v>
      </c>
      <c r="H106">
        <v>104</v>
      </c>
      <c r="I106" t="s">
        <v>1414</v>
      </c>
    </row>
    <row r="107" spans="1:9">
      <c r="A107" t="s">
        <v>1405</v>
      </c>
      <c r="B107">
        <v>103</v>
      </c>
      <c r="C107" t="s">
        <v>147</v>
      </c>
      <c r="D107">
        <v>106</v>
      </c>
      <c r="E107" t="e">
        <f t="shared" si="1"/>
        <v>#N/A</v>
      </c>
      <c r="H107">
        <v>105</v>
      </c>
      <c r="I107" t="s">
        <v>1407</v>
      </c>
    </row>
    <row r="108" spans="1:9">
      <c r="A108" t="s">
        <v>1414</v>
      </c>
      <c r="B108">
        <v>104</v>
      </c>
      <c r="C108" t="s">
        <v>153</v>
      </c>
      <c r="D108">
        <v>107</v>
      </c>
      <c r="E108" t="e">
        <f t="shared" si="1"/>
        <v>#N/A</v>
      </c>
      <c r="H108">
        <v>106</v>
      </c>
      <c r="I108" t="s">
        <v>1406</v>
      </c>
    </row>
    <row r="109" spans="1:9">
      <c r="A109" t="s">
        <v>1407</v>
      </c>
      <c r="B109">
        <v>105</v>
      </c>
      <c r="C109" t="s">
        <v>153</v>
      </c>
      <c r="D109">
        <v>108</v>
      </c>
      <c r="E109" t="e">
        <f t="shared" si="1"/>
        <v>#N/A</v>
      </c>
      <c r="H109">
        <v>107</v>
      </c>
      <c r="I109" t="s">
        <v>1405</v>
      </c>
    </row>
    <row r="110" spans="1:9">
      <c r="A110" t="s">
        <v>1406</v>
      </c>
      <c r="B110">
        <v>106</v>
      </c>
      <c r="C110" t="s">
        <v>149</v>
      </c>
      <c r="D110">
        <v>109</v>
      </c>
      <c r="E110">
        <f t="shared" si="1"/>
        <v>136</v>
      </c>
      <c r="H110">
        <v>108</v>
      </c>
      <c r="I110" t="s">
        <v>527</v>
      </c>
    </row>
    <row r="111" spans="1:9">
      <c r="A111" t="s">
        <v>1405</v>
      </c>
      <c r="B111">
        <v>107</v>
      </c>
      <c r="C111" t="s">
        <v>151</v>
      </c>
      <c r="D111">
        <v>110</v>
      </c>
      <c r="E111">
        <f t="shared" si="1"/>
        <v>131</v>
      </c>
      <c r="H111">
        <v>109</v>
      </c>
      <c r="I111" t="s">
        <v>1140</v>
      </c>
    </row>
    <row r="112" spans="1:9">
      <c r="A112" t="s">
        <v>527</v>
      </c>
      <c r="B112">
        <v>108</v>
      </c>
      <c r="C112" t="s">
        <v>153</v>
      </c>
      <c r="D112">
        <v>111</v>
      </c>
      <c r="E112" t="e">
        <f t="shared" si="1"/>
        <v>#N/A</v>
      </c>
      <c r="H112">
        <v>110</v>
      </c>
      <c r="I112" t="s">
        <v>1145</v>
      </c>
    </row>
    <row r="113" spans="1:9">
      <c r="A113" t="s">
        <v>1140</v>
      </c>
      <c r="B113">
        <v>109</v>
      </c>
      <c r="C113" t="s">
        <v>188</v>
      </c>
      <c r="D113">
        <v>112</v>
      </c>
      <c r="E113">
        <f t="shared" si="1"/>
        <v>139</v>
      </c>
      <c r="H113">
        <v>111</v>
      </c>
      <c r="I113" t="s">
        <v>1149</v>
      </c>
    </row>
    <row r="114" spans="1:9">
      <c r="A114" t="s">
        <v>1145</v>
      </c>
      <c r="B114">
        <v>110</v>
      </c>
      <c r="C114" t="s">
        <v>112</v>
      </c>
      <c r="D114">
        <v>113</v>
      </c>
      <c r="E114">
        <f t="shared" si="1"/>
        <v>96</v>
      </c>
      <c r="H114">
        <v>112</v>
      </c>
      <c r="I114" t="s">
        <v>126</v>
      </c>
    </row>
    <row r="115" spans="1:9">
      <c r="A115" t="s">
        <v>1149</v>
      </c>
      <c r="B115">
        <v>111</v>
      </c>
      <c r="C115" t="s">
        <v>112</v>
      </c>
      <c r="D115">
        <v>114</v>
      </c>
      <c r="E115">
        <f t="shared" si="1"/>
        <v>96</v>
      </c>
      <c r="H115">
        <v>113</v>
      </c>
      <c r="I115" t="s">
        <v>1153</v>
      </c>
    </row>
    <row r="116" spans="1:9">
      <c r="A116" t="s">
        <v>126</v>
      </c>
      <c r="B116">
        <v>112</v>
      </c>
      <c r="C116" t="s">
        <v>143</v>
      </c>
      <c r="D116">
        <v>115</v>
      </c>
      <c r="E116">
        <f t="shared" si="1"/>
        <v>141</v>
      </c>
      <c r="H116">
        <v>114</v>
      </c>
      <c r="I116" t="s">
        <v>1155</v>
      </c>
    </row>
    <row r="117" spans="1:9">
      <c r="A117" t="s">
        <v>1153</v>
      </c>
      <c r="B117">
        <v>113</v>
      </c>
      <c r="C117" t="s">
        <v>143</v>
      </c>
      <c r="D117">
        <v>116</v>
      </c>
      <c r="E117">
        <f t="shared" si="1"/>
        <v>141</v>
      </c>
      <c r="H117">
        <v>115</v>
      </c>
      <c r="I117" t="s">
        <v>1405</v>
      </c>
    </row>
    <row r="118" spans="1:9">
      <c r="A118" t="s">
        <v>1155</v>
      </c>
      <c r="B118">
        <v>114</v>
      </c>
      <c r="C118" t="s">
        <v>143</v>
      </c>
      <c r="D118">
        <v>117</v>
      </c>
      <c r="E118">
        <f t="shared" si="1"/>
        <v>141</v>
      </c>
      <c r="H118">
        <v>116</v>
      </c>
      <c r="I118" t="s">
        <v>1404</v>
      </c>
    </row>
    <row r="119" spans="1:9">
      <c r="A119" t="s">
        <v>1405</v>
      </c>
      <c r="B119">
        <v>115</v>
      </c>
      <c r="C119" t="s">
        <v>1386</v>
      </c>
      <c r="D119">
        <v>118</v>
      </c>
      <c r="E119" t="e">
        <f t="shared" si="1"/>
        <v>#N/A</v>
      </c>
      <c r="H119">
        <v>117</v>
      </c>
      <c r="I119" t="s">
        <v>1162</v>
      </c>
    </row>
    <row r="120" spans="1:9">
      <c r="A120" t="s">
        <v>1404</v>
      </c>
      <c r="B120">
        <v>116</v>
      </c>
      <c r="C120" t="s">
        <v>1215</v>
      </c>
      <c r="D120">
        <v>119</v>
      </c>
      <c r="E120">
        <f t="shared" si="1"/>
        <v>143</v>
      </c>
      <c r="H120">
        <v>118</v>
      </c>
      <c r="I120" t="s">
        <v>1164</v>
      </c>
    </row>
    <row r="121" spans="1:9">
      <c r="A121" t="s">
        <v>1162</v>
      </c>
      <c r="B121">
        <v>117</v>
      </c>
      <c r="C121" t="s">
        <v>1217</v>
      </c>
      <c r="D121">
        <v>120</v>
      </c>
      <c r="E121">
        <f t="shared" si="1"/>
        <v>144</v>
      </c>
      <c r="H121">
        <v>119</v>
      </c>
      <c r="I121" t="s">
        <v>1167</v>
      </c>
    </row>
    <row r="122" spans="1:9">
      <c r="A122" t="s">
        <v>1164</v>
      </c>
      <c r="B122">
        <v>118</v>
      </c>
      <c r="H122">
        <v>120</v>
      </c>
      <c r="I122" t="s">
        <v>1403</v>
      </c>
    </row>
    <row r="123" spans="1:9">
      <c r="A123" t="s">
        <v>1167</v>
      </c>
      <c r="B123">
        <v>119</v>
      </c>
      <c r="H123">
        <v>121</v>
      </c>
      <c r="I123" t="s">
        <v>1402</v>
      </c>
    </row>
    <row r="124" spans="1:9">
      <c r="A124" t="s">
        <v>1403</v>
      </c>
      <c r="B124">
        <v>120</v>
      </c>
      <c r="H124">
        <v>122</v>
      </c>
      <c r="I124" t="s">
        <v>1401</v>
      </c>
    </row>
    <row r="125" spans="1:9">
      <c r="A125" t="s">
        <v>1402</v>
      </c>
      <c r="B125">
        <v>121</v>
      </c>
      <c r="H125">
        <v>123</v>
      </c>
      <c r="I125" t="s">
        <v>1390</v>
      </c>
    </row>
    <row r="126" spans="1:9">
      <c r="A126" t="s">
        <v>1401</v>
      </c>
      <c r="B126">
        <v>122</v>
      </c>
      <c r="H126">
        <v>124</v>
      </c>
      <c r="I126" t="s">
        <v>1397</v>
      </c>
    </row>
    <row r="127" spans="1:9">
      <c r="A127" t="s">
        <v>1390</v>
      </c>
      <c r="B127">
        <v>123</v>
      </c>
      <c r="H127">
        <v>125</v>
      </c>
      <c r="I127" t="s">
        <v>1400</v>
      </c>
    </row>
    <row r="128" spans="1:9">
      <c r="A128" t="s">
        <v>1397</v>
      </c>
      <c r="B128">
        <v>124</v>
      </c>
      <c r="H128">
        <v>126</v>
      </c>
      <c r="I128" t="s">
        <v>1399</v>
      </c>
    </row>
    <row r="129" spans="1:9">
      <c r="A129" t="s">
        <v>1400</v>
      </c>
      <c r="B129">
        <v>125</v>
      </c>
      <c r="H129">
        <v>127</v>
      </c>
      <c r="I129" t="s">
        <v>1415</v>
      </c>
    </row>
    <row r="130" spans="1:9">
      <c r="A130" t="s">
        <v>1399</v>
      </c>
      <c r="B130">
        <v>126</v>
      </c>
      <c r="H130">
        <v>128</v>
      </c>
      <c r="I130" t="s">
        <v>1396</v>
      </c>
    </row>
    <row r="131" spans="1:9">
      <c r="A131" t="s">
        <v>1415</v>
      </c>
      <c r="B131">
        <v>127</v>
      </c>
      <c r="H131">
        <v>129</v>
      </c>
      <c r="I131" t="s">
        <v>1395</v>
      </c>
    </row>
    <row r="132" spans="1:9">
      <c r="A132" t="s">
        <v>1396</v>
      </c>
      <c r="B132">
        <v>128</v>
      </c>
      <c r="H132">
        <v>130</v>
      </c>
      <c r="I132" t="s">
        <v>1195</v>
      </c>
    </row>
    <row r="133" spans="1:9">
      <c r="A133" t="s">
        <v>1395</v>
      </c>
      <c r="B133">
        <v>129</v>
      </c>
      <c r="H133">
        <v>131</v>
      </c>
      <c r="I133" t="s">
        <v>1391</v>
      </c>
    </row>
    <row r="134" spans="1:9">
      <c r="A134" t="s">
        <v>1195</v>
      </c>
      <c r="B134">
        <v>130</v>
      </c>
      <c r="H134">
        <v>132</v>
      </c>
      <c r="I134" t="s">
        <v>1394</v>
      </c>
    </row>
    <row r="135" spans="1:9">
      <c r="A135" t="s">
        <v>1391</v>
      </c>
      <c r="B135">
        <v>131</v>
      </c>
      <c r="H135">
        <v>133</v>
      </c>
      <c r="I135" t="s">
        <v>719</v>
      </c>
    </row>
    <row r="136" spans="1:9">
      <c r="A136" t="s">
        <v>1394</v>
      </c>
      <c r="B136">
        <v>132</v>
      </c>
      <c r="H136">
        <v>134</v>
      </c>
      <c r="I136" t="s">
        <v>1393</v>
      </c>
    </row>
    <row r="137" spans="1:9">
      <c r="A137" t="s">
        <v>719</v>
      </c>
      <c r="B137">
        <v>133</v>
      </c>
      <c r="H137">
        <v>135</v>
      </c>
      <c r="I137" t="s">
        <v>1390</v>
      </c>
    </row>
    <row r="138" spans="1:9">
      <c r="A138" t="s">
        <v>1393</v>
      </c>
      <c r="B138">
        <v>134</v>
      </c>
      <c r="H138">
        <v>136</v>
      </c>
      <c r="I138" t="s">
        <v>1392</v>
      </c>
    </row>
    <row r="139" spans="1:9">
      <c r="A139" t="s">
        <v>1390</v>
      </c>
      <c r="B139">
        <v>135</v>
      </c>
      <c r="H139">
        <v>137</v>
      </c>
      <c r="I139" t="s">
        <v>1391</v>
      </c>
    </row>
    <row r="140" spans="1:9">
      <c r="A140" t="s">
        <v>1392</v>
      </c>
      <c r="B140">
        <v>136</v>
      </c>
      <c r="H140">
        <v>138</v>
      </c>
      <c r="I140" t="s">
        <v>1390</v>
      </c>
    </row>
    <row r="141" spans="1:9">
      <c r="A141" t="s">
        <v>1391</v>
      </c>
      <c r="B141">
        <v>137</v>
      </c>
      <c r="H141">
        <v>139</v>
      </c>
      <c r="I141" t="s">
        <v>1389</v>
      </c>
    </row>
    <row r="142" spans="1:9">
      <c r="A142" t="s">
        <v>1390</v>
      </c>
      <c r="B142">
        <v>138</v>
      </c>
      <c r="H142">
        <v>140</v>
      </c>
      <c r="I142" t="s">
        <v>1388</v>
      </c>
    </row>
    <row r="143" spans="1:9">
      <c r="A143" t="s">
        <v>1389</v>
      </c>
      <c r="B143">
        <v>139</v>
      </c>
      <c r="H143">
        <v>141</v>
      </c>
      <c r="I143" t="s">
        <v>143</v>
      </c>
    </row>
    <row r="144" spans="1:9">
      <c r="A144" t="s">
        <v>1388</v>
      </c>
      <c r="B144">
        <v>140</v>
      </c>
      <c r="H144">
        <v>142</v>
      </c>
      <c r="I144" t="s">
        <v>1386</v>
      </c>
    </row>
    <row r="145" spans="1:9">
      <c r="A145" t="s">
        <v>143</v>
      </c>
      <c r="B145">
        <v>141</v>
      </c>
      <c r="H145">
        <v>143</v>
      </c>
      <c r="I145" t="s">
        <v>1387</v>
      </c>
    </row>
    <row r="146" spans="1:9">
      <c r="A146" t="s">
        <v>1386</v>
      </c>
      <c r="B146">
        <v>142</v>
      </c>
      <c r="H146">
        <v>144</v>
      </c>
      <c r="I146" t="s">
        <v>1217</v>
      </c>
    </row>
    <row r="147" spans="1:9">
      <c r="A147" t="s">
        <v>1387</v>
      </c>
      <c r="B147">
        <v>143</v>
      </c>
    </row>
    <row r="148" spans="1:9">
      <c r="A148" t="s">
        <v>1217</v>
      </c>
      <c r="B148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5"/>
  <sheetViews>
    <sheetView workbookViewId="0">
      <selection activeCell="D2" sqref="D2:D145"/>
    </sheetView>
  </sheetViews>
  <sheetFormatPr defaultRowHeight="15"/>
  <cols>
    <col min="1" max="1" width="4" bestFit="1" customWidth="1"/>
    <col min="2" max="2" width="40.28515625" bestFit="1" customWidth="1"/>
    <col min="4" max="4" width="27.140625" bestFit="1" customWidth="1"/>
  </cols>
  <sheetData>
    <row r="1" spans="1:4">
      <c r="A1" t="s">
        <v>175</v>
      </c>
      <c r="B1" t="s">
        <v>1380</v>
      </c>
    </row>
    <row r="2" spans="1:4">
      <c r="A2">
        <v>1</v>
      </c>
      <c r="B2" t="s">
        <v>151</v>
      </c>
      <c r="D2" t="str">
        <f t="shared" ref="D2:D33" si="0">TRIM(B2)</f>
        <v>ADURY FASHION &amp; PRINT LTD</v>
      </c>
    </row>
    <row r="3" spans="1:4">
      <c r="A3">
        <v>2</v>
      </c>
      <c r="B3" t="s">
        <v>101</v>
      </c>
      <c r="D3" t="str">
        <f t="shared" si="0"/>
        <v>Advance Com Tex Ltd</v>
      </c>
    </row>
    <row r="4" spans="1:4">
      <c r="A4">
        <v>3</v>
      </c>
      <c r="B4" t="s">
        <v>132</v>
      </c>
      <c r="D4" t="str">
        <f t="shared" si="0"/>
        <v>AINUN TRADE HOUSE LTD</v>
      </c>
    </row>
    <row r="5" spans="1:4">
      <c r="A5">
        <v>4</v>
      </c>
      <c r="B5" t="s">
        <v>155</v>
      </c>
      <c r="D5" t="str">
        <f t="shared" si="0"/>
        <v>ANTIM KNITING &amp; DYING</v>
      </c>
    </row>
    <row r="6" spans="1:4">
      <c r="A6">
        <v>5</v>
      </c>
      <c r="B6" t="s">
        <v>118</v>
      </c>
      <c r="D6" t="str">
        <f t="shared" si="0"/>
        <v>Aristocrate Non Woven Ltd</v>
      </c>
    </row>
    <row r="7" spans="1:4">
      <c r="A7">
        <v>6</v>
      </c>
      <c r="B7" t="s">
        <v>116</v>
      </c>
      <c r="D7" t="str">
        <f t="shared" si="0"/>
        <v>Aristocrate Agro Ltd</v>
      </c>
    </row>
    <row r="8" spans="1:4">
      <c r="A8">
        <v>7</v>
      </c>
      <c r="B8" t="s">
        <v>90</v>
      </c>
      <c r="D8" t="str">
        <f t="shared" si="0"/>
        <v>Asiatic Textile Mills Ltd</v>
      </c>
    </row>
    <row r="9" spans="1:4">
      <c r="A9">
        <v>8</v>
      </c>
      <c r="B9" t="s">
        <v>167</v>
      </c>
      <c r="D9" t="str">
        <f t="shared" si="0"/>
        <v>BASHUDHARA MULTI FOOD</v>
      </c>
    </row>
    <row r="10" spans="1:4">
      <c r="A10">
        <v>9</v>
      </c>
      <c r="B10" t="s">
        <v>165</v>
      </c>
      <c r="D10" t="str">
        <f t="shared" si="0"/>
        <v>BASHUDHARA MULTI STEEL</v>
      </c>
    </row>
    <row r="11" spans="1:4">
      <c r="A11">
        <v>10</v>
      </c>
      <c r="B11" t="s">
        <v>62</v>
      </c>
      <c r="D11" t="str">
        <f t="shared" si="0"/>
        <v>BD SUGAR AND FOOD CASH LC</v>
      </c>
    </row>
    <row r="12" spans="1:4">
      <c r="A12">
        <v>11</v>
      </c>
      <c r="B12" t="s">
        <v>38</v>
      </c>
      <c r="D12" t="str">
        <f t="shared" si="0"/>
        <v>BOSUNDORA FOOD AND BEVERAGE</v>
      </c>
    </row>
    <row r="13" spans="1:4">
      <c r="A13">
        <v>12</v>
      </c>
      <c r="B13" t="s">
        <v>23</v>
      </c>
      <c r="D13" t="str">
        <f t="shared" si="0"/>
        <v>DHAKA MATCH FACTORY LTD</v>
      </c>
    </row>
    <row r="14" spans="1:4">
      <c r="A14">
        <v>13</v>
      </c>
      <c r="B14" t="s">
        <v>139</v>
      </c>
      <c r="D14" t="str">
        <f t="shared" si="0"/>
        <v>Dressden Textiles Ltd</v>
      </c>
    </row>
    <row r="15" spans="1:4">
      <c r="A15">
        <v>14</v>
      </c>
      <c r="B15" t="s">
        <v>75</v>
      </c>
      <c r="D15" t="str">
        <f t="shared" si="0"/>
        <v>DUTCH BANGLA POWER</v>
      </c>
    </row>
    <row r="16" spans="1:4">
      <c r="A16">
        <v>15</v>
      </c>
      <c r="B16" t="s">
        <v>31</v>
      </c>
      <c r="D16" t="str">
        <f t="shared" si="0"/>
        <v>F N FAN INDUSTRIES LTD</v>
      </c>
    </row>
    <row r="17" spans="1:4">
      <c r="A17">
        <v>16</v>
      </c>
      <c r="B17" t="s">
        <v>112</v>
      </c>
      <c r="D17" t="str">
        <f t="shared" si="0"/>
        <v>Global Pac Ind Pvt Ltd</v>
      </c>
    </row>
    <row r="18" spans="1:4">
      <c r="A18">
        <v>17</v>
      </c>
      <c r="B18" t="s">
        <v>1381</v>
      </c>
      <c r="D18" t="str">
        <f t="shared" si="0"/>
        <v>GPH ISPAT LTD</v>
      </c>
    </row>
    <row r="19" spans="1:4">
      <c r="A19">
        <v>18</v>
      </c>
      <c r="B19" t="s">
        <v>94</v>
      </c>
      <c r="D19" t="str">
        <f t="shared" si="0"/>
        <v>H H Textile Mills Ltd</v>
      </c>
    </row>
    <row r="20" spans="1:4">
      <c r="A20">
        <v>19</v>
      </c>
      <c r="B20" t="s">
        <v>1</v>
      </c>
      <c r="D20" t="str">
        <f t="shared" si="0"/>
        <v>JALANI SHILPA LTD.</v>
      </c>
    </row>
    <row r="21" spans="1:4">
      <c r="A21">
        <v>20</v>
      </c>
      <c r="B21" t="s">
        <v>15</v>
      </c>
      <c r="D21" t="str">
        <f t="shared" si="0"/>
        <v>KAWACHI DETERGENT &amp; CHEMI</v>
      </c>
    </row>
    <row r="22" spans="1:4">
      <c r="A22">
        <v>21</v>
      </c>
      <c r="B22" t="s">
        <v>11</v>
      </c>
      <c r="D22" t="str">
        <f t="shared" si="0"/>
        <v>KAYACHI DETERGENT &amp; CH.IND.</v>
      </c>
    </row>
    <row r="23" spans="1:4">
      <c r="A23">
        <v>22</v>
      </c>
      <c r="B23" t="s">
        <v>107</v>
      </c>
      <c r="D23" t="str">
        <f t="shared" si="0"/>
        <v>LEEU FASHION LTD</v>
      </c>
    </row>
    <row r="24" spans="1:4">
      <c r="A24">
        <v>23</v>
      </c>
      <c r="B24" t="s">
        <v>1382</v>
      </c>
      <c r="D24" t="str">
        <f t="shared" si="0"/>
        <v>ML THREAD LTD</v>
      </c>
    </row>
    <row r="25" spans="1:4">
      <c r="A25">
        <v>24</v>
      </c>
      <c r="B25" t="s">
        <v>159</v>
      </c>
      <c r="D25" t="str">
        <f t="shared" si="0"/>
        <v>MAGPIE COMPOSITE LTD</v>
      </c>
    </row>
    <row r="26" spans="1:4">
      <c r="A26">
        <v>25</v>
      </c>
      <c r="B26" t="s">
        <v>162</v>
      </c>
      <c r="D26" t="str">
        <f t="shared" si="0"/>
        <v>MAKS NAHAR LTD</v>
      </c>
    </row>
    <row r="27" spans="1:4">
      <c r="A27">
        <v>26</v>
      </c>
      <c r="B27" t="s">
        <v>128</v>
      </c>
      <c r="D27" t="str">
        <f t="shared" si="0"/>
        <v>MuTUAL CONCERN CORPORATION</v>
      </c>
    </row>
    <row r="28" spans="1:4">
      <c r="A28">
        <v>27</v>
      </c>
      <c r="B28" t="s">
        <v>130</v>
      </c>
      <c r="D28" t="str">
        <f t="shared" si="0"/>
        <v>NAFIZ PAPER</v>
      </c>
    </row>
    <row r="29" spans="1:4">
      <c r="A29">
        <v>28</v>
      </c>
      <c r="B29" t="s">
        <v>71</v>
      </c>
      <c r="D29" t="str">
        <f t="shared" si="0"/>
        <v>PACIFIC A1 SWEATER</v>
      </c>
    </row>
    <row r="30" spans="1:4">
      <c r="A30">
        <v>29</v>
      </c>
      <c r="B30" t="s">
        <v>121</v>
      </c>
      <c r="D30" t="str">
        <f t="shared" si="0"/>
        <v>Pacific Shoes &amp; Bags Ind Ltd</v>
      </c>
    </row>
    <row r="31" spans="1:4">
      <c r="A31">
        <v>30</v>
      </c>
      <c r="B31" t="s">
        <v>114</v>
      </c>
      <c r="D31" t="str">
        <f t="shared" si="0"/>
        <v>Parents Sweater Ltd</v>
      </c>
    </row>
    <row r="32" spans="1:4">
      <c r="A32">
        <v>31</v>
      </c>
      <c r="B32" t="s">
        <v>109</v>
      </c>
      <c r="D32" t="str">
        <f t="shared" si="0"/>
        <v>Prime Composite Mills Ltd</v>
      </c>
    </row>
    <row r="33" spans="1:4">
      <c r="A33">
        <v>32</v>
      </c>
      <c r="B33" t="s">
        <v>106</v>
      </c>
      <c r="D33" t="str">
        <f t="shared" si="0"/>
        <v>Prime Melenge Yarn ltd</v>
      </c>
    </row>
    <row r="34" spans="1:4">
      <c r="A34">
        <v>33</v>
      </c>
      <c r="B34" t="s">
        <v>104</v>
      </c>
      <c r="D34" t="str">
        <f t="shared" ref="D34:D65" si="1">TRIM(B34)</f>
        <v>R R Spinning &amp; Cotton Mills</v>
      </c>
    </row>
    <row r="35" spans="1:4">
      <c r="A35">
        <v>34</v>
      </c>
      <c r="B35" t="s">
        <v>157</v>
      </c>
      <c r="D35" t="str">
        <f t="shared" si="1"/>
        <v>R R SPINNING MILL</v>
      </c>
    </row>
    <row r="36" spans="1:4">
      <c r="A36">
        <v>35</v>
      </c>
      <c r="B36" t="s">
        <v>34</v>
      </c>
      <c r="D36" t="str">
        <f t="shared" si="1"/>
        <v>RM SYSTEM</v>
      </c>
    </row>
    <row r="37" spans="1:4">
      <c r="A37">
        <v>36</v>
      </c>
      <c r="B37" t="s">
        <v>18</v>
      </c>
      <c r="D37" t="str">
        <f t="shared" si="1"/>
        <v>ROCO ENTERPRISE</v>
      </c>
    </row>
    <row r="38" spans="1:4">
      <c r="A38">
        <v>37</v>
      </c>
      <c r="B38" t="s">
        <v>82</v>
      </c>
      <c r="D38" t="str">
        <f t="shared" si="1"/>
        <v>Rupshi Feed</v>
      </c>
    </row>
    <row r="39" spans="1:4">
      <c r="A39">
        <v>38</v>
      </c>
      <c r="B39" t="s">
        <v>129</v>
      </c>
      <c r="D39" t="str">
        <f t="shared" si="1"/>
        <v>Samitex Industries Ltd</v>
      </c>
    </row>
    <row r="40" spans="1:4">
      <c r="A40">
        <v>39</v>
      </c>
      <c r="B40" t="s">
        <v>86</v>
      </c>
      <c r="D40" t="str">
        <f t="shared" si="1"/>
        <v>SHAHABA YARN LTD</v>
      </c>
    </row>
    <row r="41" spans="1:4">
      <c r="A41">
        <v>40</v>
      </c>
      <c r="B41" t="s">
        <v>88</v>
      </c>
      <c r="D41" t="str">
        <f t="shared" si="1"/>
        <v>Sister Denim Composite Mills Ltd</v>
      </c>
    </row>
    <row r="42" spans="1:4">
      <c r="A42">
        <v>41</v>
      </c>
      <c r="B42" t="s">
        <v>1383</v>
      </c>
      <c r="D42" t="str">
        <f t="shared" si="1"/>
        <v>SISTER DENIM?COMPOSITE UNIT-2</v>
      </c>
    </row>
    <row r="43" spans="1:4">
      <c r="A43">
        <v>42</v>
      </c>
      <c r="B43" t="s">
        <v>124</v>
      </c>
      <c r="D43" t="str">
        <f t="shared" si="1"/>
        <v>Sonali Sweater Ltd</v>
      </c>
    </row>
    <row r="44" spans="1:4">
      <c r="A44">
        <v>43</v>
      </c>
      <c r="B44" t="s">
        <v>26</v>
      </c>
      <c r="D44" t="str">
        <f t="shared" si="1"/>
        <v>SURUJ MIAH TEXTILE</v>
      </c>
    </row>
    <row r="45" spans="1:4">
      <c r="A45">
        <v>44</v>
      </c>
      <c r="B45" t="s">
        <v>145</v>
      </c>
      <c r="D45" t="str">
        <f t="shared" si="1"/>
        <v>SWISS QUALITY LTD</v>
      </c>
    </row>
    <row r="46" spans="1:4">
      <c r="A46">
        <v>45</v>
      </c>
      <c r="B46" t="s">
        <v>144</v>
      </c>
      <c r="D46" t="str">
        <f t="shared" si="1"/>
        <v>TANZINA FASHION LTD</v>
      </c>
    </row>
    <row r="47" spans="1:4">
      <c r="A47">
        <v>46</v>
      </c>
      <c r="B47" t="s">
        <v>143</v>
      </c>
      <c r="D47" t="str">
        <f t="shared" si="1"/>
        <v>THE GLOBAL PACKING IND PVT LTD</v>
      </c>
    </row>
    <row r="48" spans="1:4">
      <c r="A48">
        <v>47</v>
      </c>
      <c r="B48" t="s">
        <v>149</v>
      </c>
      <c r="D48" t="str">
        <f t="shared" si="1"/>
        <v>THERMAX BLENDED YARN LTD</v>
      </c>
    </row>
    <row r="49" spans="1:4">
      <c r="A49">
        <v>48</v>
      </c>
      <c r="B49" t="s">
        <v>188</v>
      </c>
      <c r="D49" t="str">
        <f t="shared" si="1"/>
        <v>THERMAX SPINNING LTD</v>
      </c>
    </row>
    <row r="50" spans="1:4">
      <c r="A50">
        <v>49</v>
      </c>
      <c r="B50" t="s">
        <v>153</v>
      </c>
      <c r="D50" t="str">
        <f t="shared" si="1"/>
        <v>THERMAX YARN DYED FABRICS LTD</v>
      </c>
    </row>
    <row r="51" spans="1:4">
      <c r="A51">
        <v>50</v>
      </c>
      <c r="B51" t="s">
        <v>136</v>
      </c>
      <c r="D51" t="str">
        <f t="shared" si="1"/>
        <v>THERMEX COLOUR COTTON LTD</v>
      </c>
    </row>
    <row r="52" spans="1:4">
      <c r="A52">
        <v>51</v>
      </c>
      <c r="B52" t="s">
        <v>29</v>
      </c>
      <c r="D52" t="str">
        <f t="shared" si="1"/>
        <v>VISTA FIBERS LTD</v>
      </c>
    </row>
    <row r="53" spans="1:4">
      <c r="A53">
        <v>52</v>
      </c>
      <c r="B53" t="s">
        <v>126</v>
      </c>
      <c r="D53" t="str">
        <f t="shared" si="1"/>
        <v>ZAKIA COTTONTEX LTD</v>
      </c>
    </row>
    <row r="54" spans="1:4">
      <c r="A54">
        <v>53</v>
      </c>
      <c r="B54" t="s">
        <v>160</v>
      </c>
      <c r="D54" t="str">
        <f t="shared" si="1"/>
        <v>MAGPIE KNITWEAR LTD</v>
      </c>
    </row>
    <row r="55" spans="1:4">
      <c r="A55">
        <v>54</v>
      </c>
      <c r="B55" t="s">
        <v>1384</v>
      </c>
      <c r="D55" t="str">
        <f t="shared" si="1"/>
        <v>Entrust Textile BD Ltd</v>
      </c>
    </row>
    <row r="56" spans="1:4">
      <c r="A56">
        <v>55</v>
      </c>
      <c r="B56" t="s">
        <v>1217</v>
      </c>
      <c r="D56" t="str">
        <f t="shared" si="1"/>
        <v>SURAIYA SPINNING MILLS LTD</v>
      </c>
    </row>
    <row r="57" spans="1:4">
      <c r="A57">
        <v>56</v>
      </c>
      <c r="B57" s="196" t="s">
        <v>623</v>
      </c>
      <c r="D57" t="str">
        <f t="shared" si="1"/>
        <v>ASSERTION DESIGNERS LTD</v>
      </c>
    </row>
    <row r="58" spans="1:4">
      <c r="A58">
        <v>57</v>
      </c>
      <c r="B58" t="s">
        <v>970</v>
      </c>
      <c r="D58" t="str">
        <f t="shared" si="1"/>
        <v>PACIFIC DENIMS LTD</v>
      </c>
    </row>
    <row r="59" spans="1:4">
      <c r="A59">
        <v>58</v>
      </c>
      <c r="B59" t="s">
        <v>973</v>
      </c>
      <c r="D59" t="str">
        <f t="shared" si="1"/>
        <v>AMJAD RICE AGENCY</v>
      </c>
    </row>
    <row r="60" spans="1:4">
      <c r="A60">
        <v>59</v>
      </c>
      <c r="B60" t="s">
        <v>977</v>
      </c>
      <c r="D60" t="str">
        <f t="shared" si="1"/>
        <v>CASENDRA YARN DYEING LTD</v>
      </c>
    </row>
    <row r="61" spans="1:4">
      <c r="A61">
        <v>60</v>
      </c>
      <c r="B61" t="s">
        <v>980</v>
      </c>
      <c r="D61" t="str">
        <f t="shared" si="1"/>
        <v>M.R. TRADING CO.</v>
      </c>
    </row>
    <row r="62" spans="1:4">
      <c r="A62">
        <v>61</v>
      </c>
      <c r="B62" t="s">
        <v>982</v>
      </c>
      <c r="D62" t="str">
        <f t="shared" si="1"/>
        <v>The Aristocrat (cash lc)</v>
      </c>
    </row>
    <row r="63" spans="1:4">
      <c r="A63">
        <v>62</v>
      </c>
      <c r="B63" t="s">
        <v>987</v>
      </c>
      <c r="D63" t="str">
        <f t="shared" si="1"/>
        <v>WELLPAC POLYMER</v>
      </c>
    </row>
    <row r="64" spans="1:4">
      <c r="A64">
        <v>63</v>
      </c>
      <c r="B64" t="s">
        <v>991</v>
      </c>
      <c r="D64" t="str">
        <f t="shared" si="1"/>
        <v>TRUST FABRICS AND KNITINGPVT L (BTB)</v>
      </c>
    </row>
    <row r="65" spans="1:4">
      <c r="A65">
        <v>64</v>
      </c>
      <c r="B65" t="s">
        <v>995</v>
      </c>
      <c r="D65" t="str">
        <f t="shared" si="1"/>
        <v>SONALI FAB &amp; TEXTTILE MILLS (BTB)</v>
      </c>
    </row>
    <row r="66" spans="1:4">
      <c r="A66">
        <v>65</v>
      </c>
      <c r="B66" t="s">
        <v>999</v>
      </c>
      <c r="D66" t="str">
        <f t="shared" ref="D66:D97" si="2">TRIM(B66)</f>
        <v>BASHUNDARA MULTI PAPER (BCK)</v>
      </c>
    </row>
    <row r="67" spans="1:4">
      <c r="A67">
        <v>66</v>
      </c>
      <c r="B67" t="s">
        <v>1385</v>
      </c>
      <c r="D67" t="str">
        <f t="shared" si="2"/>
        <v>BASHUNDARA MULTI PAPER</v>
      </c>
    </row>
    <row r="68" spans="1:4">
      <c r="A68">
        <v>67</v>
      </c>
      <c r="B68" t="s">
        <v>1408</v>
      </c>
      <c r="D68" t="str">
        <f t="shared" si="2"/>
        <v>BASHUNDARA PAPER ( BCK)</v>
      </c>
    </row>
    <row r="69" spans="1:4">
      <c r="A69">
        <v>68</v>
      </c>
      <c r="B69" t="s">
        <v>1409</v>
      </c>
      <c r="D69" t="str">
        <f t="shared" si="2"/>
        <v>BASHUNDARA PAPER</v>
      </c>
    </row>
    <row r="70" spans="1:4">
      <c r="A70">
        <v>69</v>
      </c>
      <c r="B70" t="s">
        <v>1010</v>
      </c>
      <c r="D70" t="str">
        <f t="shared" si="2"/>
        <v>SAMYTEX INDUSTRIES LTD</v>
      </c>
    </row>
    <row r="71" spans="1:4">
      <c r="A71">
        <v>70</v>
      </c>
      <c r="B71" t="s">
        <v>1013</v>
      </c>
      <c r="D71" t="str">
        <f t="shared" si="2"/>
        <v>ENERGIES POWER (CASH LC)</v>
      </c>
    </row>
    <row r="72" spans="1:4">
      <c r="A72">
        <v>71</v>
      </c>
      <c r="B72" t="s">
        <v>1010</v>
      </c>
      <c r="D72" t="str">
        <f t="shared" si="2"/>
        <v>SAMYTEX INDUSTRIES LTD</v>
      </c>
    </row>
    <row r="73" spans="1:4">
      <c r="A73">
        <v>72</v>
      </c>
      <c r="B73" t="s">
        <v>1019</v>
      </c>
      <c r="D73" t="str">
        <f t="shared" si="2"/>
        <v>BEXIMCO LTD</v>
      </c>
    </row>
    <row r="74" spans="1:4">
      <c r="A74">
        <v>73</v>
      </c>
      <c r="B74" t="s">
        <v>1013</v>
      </c>
      <c r="D74" t="str">
        <f t="shared" si="2"/>
        <v>ENERGIES POWER (CASH LC)</v>
      </c>
    </row>
    <row r="75" spans="1:4">
      <c r="A75">
        <v>74</v>
      </c>
      <c r="B75" t="s">
        <v>1398</v>
      </c>
      <c r="D75" t="str">
        <f t="shared" si="2"/>
        <v>MUTUAL CONCERN CORPORATION</v>
      </c>
    </row>
    <row r="76" spans="1:4">
      <c r="A76">
        <v>75</v>
      </c>
      <c r="B76" t="s">
        <v>132</v>
      </c>
      <c r="D76" t="str">
        <f t="shared" si="2"/>
        <v>AINUN TRADE HOUSE LTD</v>
      </c>
    </row>
    <row r="77" spans="1:4">
      <c r="A77">
        <v>76</v>
      </c>
      <c r="B77" t="s">
        <v>126</v>
      </c>
      <c r="D77" t="str">
        <f t="shared" si="2"/>
        <v>ZAKIA COTTONTEX LTD</v>
      </c>
    </row>
    <row r="78" spans="1:4">
      <c r="A78">
        <v>77</v>
      </c>
      <c r="B78" t="s">
        <v>1041</v>
      </c>
      <c r="D78" t="str">
        <f t="shared" si="2"/>
        <v>MARHABA SYNTHETIC MILLS</v>
      </c>
    </row>
    <row r="79" spans="1:4">
      <c r="A79">
        <v>78</v>
      </c>
      <c r="B79" t="s">
        <v>1048</v>
      </c>
      <c r="D79" t="str">
        <f t="shared" si="2"/>
        <v>HAT INT PVT LTD</v>
      </c>
    </row>
    <row r="80" spans="1:4">
      <c r="A80">
        <v>79</v>
      </c>
      <c r="B80" t="s">
        <v>1050</v>
      </c>
      <c r="D80" t="str">
        <f t="shared" si="2"/>
        <v>M/S TANAKA TRADE COM INT LTD</v>
      </c>
    </row>
    <row r="81" spans="1:4">
      <c r="A81">
        <v>80</v>
      </c>
      <c r="B81" t="s">
        <v>1052</v>
      </c>
      <c r="D81" t="str">
        <f t="shared" si="2"/>
        <v>SWISS QUALITY BAN</v>
      </c>
    </row>
    <row r="82" spans="1:4">
      <c r="A82">
        <v>81</v>
      </c>
      <c r="B82" t="s">
        <v>1041</v>
      </c>
      <c r="D82" t="str">
        <f t="shared" si="2"/>
        <v>MARHABA SYNTHETIC MILLS</v>
      </c>
    </row>
    <row r="83" spans="1:4">
      <c r="A83">
        <v>82</v>
      </c>
      <c r="B83" t="s">
        <v>517</v>
      </c>
      <c r="D83" t="str">
        <f t="shared" si="2"/>
        <v>WISTERIA TEXTILES LIMITED</v>
      </c>
    </row>
    <row r="84" spans="1:4">
      <c r="A84">
        <v>83</v>
      </c>
      <c r="B84" t="s">
        <v>527</v>
      </c>
      <c r="D84" t="str">
        <f t="shared" si="2"/>
        <v>PARENTS SWEATER LTD</v>
      </c>
    </row>
    <row r="85" spans="1:4">
      <c r="A85">
        <v>84</v>
      </c>
      <c r="B85" t="s">
        <v>1066</v>
      </c>
      <c r="D85" t="str">
        <f t="shared" si="2"/>
        <v>SUNBEAM KNIT WEAR LTD</v>
      </c>
    </row>
    <row r="86" spans="1:4">
      <c r="A86">
        <v>85</v>
      </c>
      <c r="B86" t="s">
        <v>531</v>
      </c>
      <c r="D86" t="str">
        <f t="shared" si="2"/>
        <v>SUBORNNO BAN LTD</v>
      </c>
    </row>
    <row r="87" spans="1:4">
      <c r="A87">
        <v>86</v>
      </c>
      <c r="B87" t="s">
        <v>71</v>
      </c>
      <c r="D87" t="str">
        <f t="shared" si="2"/>
        <v>PACIFIC A1 SWEATER</v>
      </c>
    </row>
    <row r="88" spans="1:4">
      <c r="A88">
        <v>87</v>
      </c>
      <c r="B88" t="s">
        <v>1081</v>
      </c>
      <c r="D88" t="str">
        <f t="shared" si="2"/>
        <v>SHADHIN DYEING(PVT) LTD</v>
      </c>
    </row>
    <row r="89" spans="1:4">
      <c r="A89">
        <v>88</v>
      </c>
      <c r="B89" t="s">
        <v>1085</v>
      </c>
      <c r="D89" t="str">
        <f t="shared" si="2"/>
        <v>IFTEE FASHION LTD</v>
      </c>
    </row>
    <row r="90" spans="1:4">
      <c r="A90">
        <v>89</v>
      </c>
      <c r="B90" t="s">
        <v>1089</v>
      </c>
      <c r="D90" t="str">
        <f t="shared" si="2"/>
        <v>Bashundhara Industrial Complex (bck )</v>
      </c>
    </row>
    <row r="91" spans="1:4">
      <c r="A91">
        <v>90</v>
      </c>
      <c r="B91" t="s">
        <v>1092</v>
      </c>
      <c r="D91" t="str">
        <f t="shared" si="2"/>
        <v>Bashundhara Industrial Complex</v>
      </c>
    </row>
    <row r="92" spans="1:4">
      <c r="A92">
        <v>91</v>
      </c>
      <c r="B92" t="s">
        <v>1095</v>
      </c>
      <c r="D92" t="str">
        <f t="shared" si="2"/>
        <v>Prime Composite Mills Ltd ( BCk)</v>
      </c>
    </row>
    <row r="93" spans="1:4">
      <c r="A93">
        <v>92</v>
      </c>
      <c r="B93" t="s">
        <v>109</v>
      </c>
      <c r="D93" t="str">
        <f t="shared" si="2"/>
        <v>Prime Composite Mills Ltd</v>
      </c>
    </row>
    <row r="94" spans="1:4">
      <c r="A94">
        <v>93</v>
      </c>
      <c r="B94" t="s">
        <v>1100</v>
      </c>
      <c r="D94" t="str">
        <f t="shared" si="2"/>
        <v>Prime Melange Yarn Mills Ltd (BCK )</v>
      </c>
    </row>
    <row r="95" spans="1:4">
      <c r="A95">
        <v>94</v>
      </c>
      <c r="B95" t="s">
        <v>1410</v>
      </c>
      <c r="D95" t="str">
        <f t="shared" si="2"/>
        <v>Prime Melange Yarn Mills Ltd</v>
      </c>
    </row>
    <row r="96" spans="1:4">
      <c r="A96">
        <v>95</v>
      </c>
      <c r="B96" t="s">
        <v>506</v>
      </c>
      <c r="D96" t="str">
        <f t="shared" si="2"/>
        <v>SONALI FAB &amp; TEXTTILE MILLS (BTB)</v>
      </c>
    </row>
    <row r="97" spans="1:4">
      <c r="A97">
        <v>96</v>
      </c>
      <c r="B97" t="s">
        <v>1388</v>
      </c>
      <c r="D97" t="str">
        <f t="shared" si="2"/>
        <v>Global Pac Ind Pvt Ltd</v>
      </c>
    </row>
    <row r="98" spans="1:4">
      <c r="A98">
        <v>97</v>
      </c>
      <c r="B98" t="s">
        <v>1411</v>
      </c>
      <c r="D98" t="str">
        <f t="shared" ref="D98:D129" si="3">TRIM(B98)</f>
        <v>TTT Leath &amp; Footwear Ind Ltd</v>
      </c>
    </row>
    <row r="99" spans="1:4">
      <c r="A99">
        <v>98</v>
      </c>
      <c r="B99" t="s">
        <v>1412</v>
      </c>
      <c r="D99" t="str">
        <f t="shared" si="3"/>
        <v>Prime Melenge Yarn ltd</v>
      </c>
    </row>
    <row r="100" spans="1:4">
      <c r="A100">
        <v>99</v>
      </c>
      <c r="B100" t="s">
        <v>109</v>
      </c>
      <c r="D100" t="str">
        <f t="shared" si="3"/>
        <v>Prime Composite Mills Ltd</v>
      </c>
    </row>
    <row r="101" spans="1:4">
      <c r="A101">
        <v>100</v>
      </c>
      <c r="B101" t="s">
        <v>1388</v>
      </c>
      <c r="D101" t="str">
        <f t="shared" si="3"/>
        <v>Global Pac Ind Pvt Ltd</v>
      </c>
    </row>
    <row r="102" spans="1:4">
      <c r="A102">
        <v>101</v>
      </c>
      <c r="B102" t="s">
        <v>1406</v>
      </c>
      <c r="D102" t="str">
        <f t="shared" si="3"/>
        <v>Magpie Composite Ltd</v>
      </c>
    </row>
    <row r="103" spans="1:4">
      <c r="A103">
        <v>102</v>
      </c>
      <c r="B103" t="s">
        <v>1413</v>
      </c>
      <c r="D103" t="str">
        <f t="shared" si="3"/>
        <v>Bd Thai Food &amp; Bev Ltd</v>
      </c>
    </row>
    <row r="104" spans="1:4">
      <c r="A104">
        <v>103</v>
      </c>
      <c r="B104" t="s">
        <v>1405</v>
      </c>
      <c r="D104" t="str">
        <f t="shared" si="3"/>
        <v>Magpie KNITWEAR Ltd</v>
      </c>
    </row>
    <row r="105" spans="1:4">
      <c r="A105">
        <v>104</v>
      </c>
      <c r="B105" t="s">
        <v>1414</v>
      </c>
      <c r="D105" t="str">
        <f t="shared" si="3"/>
        <v>ADVANCE COMPOSITE LTD</v>
      </c>
    </row>
    <row r="106" spans="1:4">
      <c r="A106">
        <v>105</v>
      </c>
      <c r="B106" t="s">
        <v>1407</v>
      </c>
      <c r="D106" t="str">
        <f t="shared" si="3"/>
        <v>NAFIZ PAPER</v>
      </c>
    </row>
    <row r="107" spans="1:4">
      <c r="A107">
        <v>106</v>
      </c>
      <c r="B107" t="s">
        <v>1406</v>
      </c>
      <c r="D107" t="str">
        <f t="shared" si="3"/>
        <v>Magpie Composite Ltd</v>
      </c>
    </row>
    <row r="108" spans="1:4">
      <c r="A108">
        <v>107</v>
      </c>
      <c r="B108" t="s">
        <v>1405</v>
      </c>
      <c r="D108" t="str">
        <f t="shared" si="3"/>
        <v>Magpie KNITWEAR Ltd</v>
      </c>
    </row>
    <row r="109" spans="1:4">
      <c r="A109">
        <v>108</v>
      </c>
      <c r="B109" t="s">
        <v>527</v>
      </c>
      <c r="D109" t="str">
        <f t="shared" si="3"/>
        <v>PARENTS SWEATER LTD</v>
      </c>
    </row>
    <row r="110" spans="1:4">
      <c r="A110">
        <v>109</v>
      </c>
      <c r="B110" t="s">
        <v>1140</v>
      </c>
      <c r="D110" t="str">
        <f t="shared" si="3"/>
        <v>AINUN TRADE HOUSE LTD</v>
      </c>
    </row>
    <row r="111" spans="1:4">
      <c r="A111">
        <v>110</v>
      </c>
      <c r="B111" t="s">
        <v>1145</v>
      </c>
      <c r="D111" t="str">
        <f t="shared" si="3"/>
        <v>MUTUAL CONCERN COR LTD</v>
      </c>
    </row>
    <row r="112" spans="1:4">
      <c r="A112">
        <v>111</v>
      </c>
      <c r="B112" t="s">
        <v>1149</v>
      </c>
      <c r="D112" t="str">
        <f t="shared" si="3"/>
        <v>DRESSDEN TEXTILE LTD</v>
      </c>
    </row>
    <row r="113" spans="1:4">
      <c r="A113">
        <v>112</v>
      </c>
      <c r="B113" t="s">
        <v>126</v>
      </c>
      <c r="D113" t="str">
        <f t="shared" si="3"/>
        <v>ZAKIA COTTONTEX LTD</v>
      </c>
    </row>
    <row r="114" spans="1:4">
      <c r="A114">
        <v>113</v>
      </c>
      <c r="B114" t="s">
        <v>1153</v>
      </c>
      <c r="D114" t="str">
        <f t="shared" si="3"/>
        <v>ANTIM KNITWEAR LTD</v>
      </c>
    </row>
    <row r="115" spans="1:4">
      <c r="A115">
        <v>114</v>
      </c>
      <c r="B115" t="s">
        <v>1155</v>
      </c>
      <c r="D115" t="str">
        <f t="shared" si="3"/>
        <v>alema (2 parts )</v>
      </c>
    </row>
    <row r="116" spans="1:4">
      <c r="A116">
        <v>115</v>
      </c>
      <c r="B116" t="s">
        <v>1405</v>
      </c>
      <c r="D116" t="str">
        <f t="shared" si="3"/>
        <v>Magpie KNITWEAR Ltd</v>
      </c>
    </row>
    <row r="117" spans="1:4">
      <c r="A117">
        <v>116</v>
      </c>
      <c r="B117" t="s">
        <v>1404</v>
      </c>
      <c r="D117" t="str">
        <f t="shared" si="3"/>
        <v>SHE &amp; He appreals</v>
      </c>
    </row>
    <row r="118" spans="1:4">
      <c r="A118">
        <v>117</v>
      </c>
      <c r="B118" t="s">
        <v>1162</v>
      </c>
      <c r="D118" t="str">
        <f t="shared" si="3"/>
        <v>dragon sweater ltd</v>
      </c>
    </row>
    <row r="119" spans="1:4">
      <c r="A119">
        <v>118</v>
      </c>
      <c r="B119" t="s">
        <v>1164</v>
      </c>
      <c r="D119" t="str">
        <f t="shared" si="3"/>
        <v>PRIME MEEANGE MILLS (13.09.2023)</v>
      </c>
    </row>
    <row r="120" spans="1:4">
      <c r="A120">
        <v>119</v>
      </c>
      <c r="B120" t="s">
        <v>1167</v>
      </c>
      <c r="D120" t="str">
        <f t="shared" si="3"/>
        <v>Prime Composite Mills Ltd(13.09.2023)</v>
      </c>
    </row>
    <row r="121" spans="1:4">
      <c r="A121">
        <v>120</v>
      </c>
      <c r="B121" t="s">
        <v>1403</v>
      </c>
      <c r="D121" t="str">
        <f t="shared" si="3"/>
        <v>PRIME COMPOSITE MILLS LTD</v>
      </c>
    </row>
    <row r="122" spans="1:4">
      <c r="A122">
        <v>121</v>
      </c>
      <c r="B122" t="s">
        <v>1402</v>
      </c>
      <c r="D122" t="str">
        <f t="shared" si="3"/>
        <v>PRIME MELEANGE MILLS LTD</v>
      </c>
    </row>
    <row r="123" spans="1:4">
      <c r="A123">
        <v>122</v>
      </c>
      <c r="B123" t="s">
        <v>1401</v>
      </c>
      <c r="D123" t="str">
        <f t="shared" si="3"/>
        <v>THERMAX MELLANGE SPINNIG LTD</v>
      </c>
    </row>
    <row r="124" spans="1:4">
      <c r="A124">
        <v>123</v>
      </c>
      <c r="B124" t="s">
        <v>1390</v>
      </c>
      <c r="D124" t="str">
        <f t="shared" si="3"/>
        <v>THERMAX YARN DYED FABRICS LTD</v>
      </c>
    </row>
    <row r="125" spans="1:4">
      <c r="A125">
        <v>124</v>
      </c>
      <c r="B125" t="s">
        <v>1397</v>
      </c>
      <c r="D125" t="str">
        <f t="shared" si="3"/>
        <v>THERMAX BLENDED YARN LTD</v>
      </c>
    </row>
    <row r="126" spans="1:4">
      <c r="A126">
        <v>125</v>
      </c>
      <c r="B126" t="s">
        <v>1400</v>
      </c>
      <c r="D126" t="str">
        <f t="shared" si="3"/>
        <v>SISTER DENIM COMPOSITE LTD</v>
      </c>
    </row>
    <row r="127" spans="1:4">
      <c r="A127">
        <v>126</v>
      </c>
      <c r="B127" t="s">
        <v>1399</v>
      </c>
      <c r="D127" t="str">
        <f t="shared" si="3"/>
        <v>ADURY FASHION &amp; Print LTD</v>
      </c>
    </row>
    <row r="128" spans="1:4">
      <c r="A128">
        <v>127</v>
      </c>
      <c r="B128" t="s">
        <v>1415</v>
      </c>
      <c r="D128" t="str">
        <f t="shared" si="3"/>
        <v>THERMAX BLENDED YARN LTD</v>
      </c>
    </row>
    <row r="129" spans="1:4">
      <c r="A129">
        <v>128</v>
      </c>
      <c r="B129" t="s">
        <v>1396</v>
      </c>
      <c r="D129" t="str">
        <f t="shared" si="3"/>
        <v>ADURY FASHION &amp; PRINT LTD</v>
      </c>
    </row>
    <row r="130" spans="1:4">
      <c r="A130">
        <v>129</v>
      </c>
      <c r="B130" t="s">
        <v>1395</v>
      </c>
      <c r="D130" t="str">
        <f t="shared" ref="D130:D145" si="4">TRIM(B130)</f>
        <v>THERMAX COLOUR COTTON LTD</v>
      </c>
    </row>
    <row r="131" spans="1:4">
      <c r="A131">
        <v>130</v>
      </c>
      <c r="B131" t="s">
        <v>1195</v>
      </c>
      <c r="D131" t="str">
        <f t="shared" si="4"/>
        <v>THERMAX SPINNING LTD , MODA:11.05.2023</v>
      </c>
    </row>
    <row r="132" spans="1:4">
      <c r="A132">
        <v>131</v>
      </c>
      <c r="B132" t="s">
        <v>1391</v>
      </c>
      <c r="D132" t="str">
        <f t="shared" si="4"/>
        <v>ADURY FASHION &amp; PRINT LTD</v>
      </c>
    </row>
    <row r="133" spans="1:4">
      <c r="A133">
        <v>132</v>
      </c>
      <c r="B133" t="s">
        <v>1394</v>
      </c>
      <c r="D133" t="str">
        <f t="shared" si="4"/>
        <v>ADURY APPREALS LTD</v>
      </c>
    </row>
    <row r="134" spans="1:4">
      <c r="A134">
        <v>133</v>
      </c>
      <c r="B134" t="s">
        <v>719</v>
      </c>
      <c r="D134" t="str">
        <f t="shared" si="4"/>
        <v>ADURY APPREALS LTD , (MODA28.03.2023)</v>
      </c>
    </row>
    <row r="135" spans="1:4">
      <c r="A135">
        <v>134</v>
      </c>
      <c r="B135" t="s">
        <v>1393</v>
      </c>
      <c r="D135" t="str">
        <f t="shared" si="4"/>
        <v>SISTER Denim Composite Ltd (U2 )</v>
      </c>
    </row>
    <row r="136" spans="1:4">
      <c r="A136">
        <v>135</v>
      </c>
      <c r="B136" t="s">
        <v>1390</v>
      </c>
      <c r="D136" t="str">
        <f t="shared" si="4"/>
        <v>THERMAX YARN DYED FABRICS LTD</v>
      </c>
    </row>
    <row r="137" spans="1:4">
      <c r="A137">
        <v>136</v>
      </c>
      <c r="B137" t="s">
        <v>1392</v>
      </c>
      <c r="D137" t="str">
        <f t="shared" si="4"/>
        <v>THERMAX BLENDED YARN LTD</v>
      </c>
    </row>
    <row r="138" spans="1:4">
      <c r="A138">
        <v>137</v>
      </c>
      <c r="B138" t="s">
        <v>1391</v>
      </c>
      <c r="D138" t="str">
        <f t="shared" si="4"/>
        <v>ADURY FASHION &amp; PRINT LTD</v>
      </c>
    </row>
    <row r="139" spans="1:4">
      <c r="A139">
        <v>138</v>
      </c>
      <c r="B139" t="s">
        <v>1390</v>
      </c>
      <c r="D139" t="str">
        <f t="shared" si="4"/>
        <v>THERMAX YARN DYED FABRICS LTD</v>
      </c>
    </row>
    <row r="140" spans="1:4">
      <c r="A140">
        <v>139</v>
      </c>
      <c r="B140" t="s">
        <v>1389</v>
      </c>
      <c r="D140" t="str">
        <f t="shared" si="4"/>
        <v>THERMAX SPINNING LTD</v>
      </c>
    </row>
    <row r="141" spans="1:4">
      <c r="A141">
        <v>140</v>
      </c>
      <c r="B141" t="s">
        <v>1388</v>
      </c>
      <c r="D141" t="str">
        <f t="shared" si="4"/>
        <v>Global Pac Ind Pvt Ltd</v>
      </c>
    </row>
    <row r="142" spans="1:4">
      <c r="A142">
        <v>141</v>
      </c>
      <c r="B142" t="s">
        <v>143</v>
      </c>
      <c r="D142" t="str">
        <f t="shared" si="4"/>
        <v>THE GLOBAL PACKING IND PVT LTD</v>
      </c>
    </row>
    <row r="143" spans="1:4">
      <c r="A143">
        <v>142</v>
      </c>
      <c r="B143" t="s">
        <v>1386</v>
      </c>
      <c r="D143" t="str">
        <f t="shared" si="4"/>
        <v>AG PACKING LTD</v>
      </c>
    </row>
    <row r="144" spans="1:4">
      <c r="A144">
        <v>143</v>
      </c>
      <c r="B144" t="s">
        <v>1387</v>
      </c>
      <c r="D144" t="str">
        <f t="shared" si="4"/>
        <v>Entrust Textile</v>
      </c>
    </row>
    <row r="145" spans="1:4">
      <c r="A145">
        <v>144</v>
      </c>
      <c r="B145" t="s">
        <v>1217</v>
      </c>
      <c r="D145" t="str">
        <f t="shared" si="4"/>
        <v>SURAIYA SPINNING MILLS LTD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83"/>
  <sheetViews>
    <sheetView topLeftCell="A262" workbookViewId="0">
      <selection activeCell="A2" sqref="A2:A282"/>
    </sheetView>
  </sheetViews>
  <sheetFormatPr defaultRowHeight="15" outlineLevelRow="2"/>
  <cols>
    <col min="1" max="1" width="40.42578125" bestFit="1" customWidth="1"/>
    <col min="2" max="2" width="40.28515625" bestFit="1" customWidth="1"/>
  </cols>
  <sheetData>
    <row r="1" spans="1:2">
      <c r="A1" t="s">
        <v>175</v>
      </c>
      <c r="B1" t="s">
        <v>1458</v>
      </c>
    </row>
    <row r="2" spans="1:2" outlineLevel="2">
      <c r="A2">
        <v>1</v>
      </c>
      <c r="B2" t="s">
        <v>1391</v>
      </c>
    </row>
    <row r="3" spans="1:2" outlineLevel="1">
      <c r="A3" s="197" t="s">
        <v>1459</v>
      </c>
      <c r="B3">
        <f>SUBTOTAL(3,B2:B2)</f>
        <v>1</v>
      </c>
    </row>
    <row r="4" spans="1:2" outlineLevel="2">
      <c r="A4">
        <v>2</v>
      </c>
      <c r="B4" t="s">
        <v>1416</v>
      </c>
    </row>
    <row r="5" spans="1:2" outlineLevel="1">
      <c r="A5" s="184" t="s">
        <v>1460</v>
      </c>
      <c r="B5">
        <f>SUBTOTAL(3,B4:B4)</f>
        <v>1</v>
      </c>
    </row>
    <row r="6" spans="1:2" outlineLevel="2">
      <c r="A6">
        <v>3</v>
      </c>
      <c r="B6" t="s">
        <v>132</v>
      </c>
    </row>
    <row r="7" spans="1:2" outlineLevel="1">
      <c r="A7" s="184" t="s">
        <v>1265</v>
      </c>
      <c r="B7">
        <f>SUBTOTAL(3,B6:B6)</f>
        <v>1</v>
      </c>
    </row>
    <row r="8" spans="1:2" outlineLevel="2">
      <c r="A8">
        <v>4</v>
      </c>
      <c r="B8" t="s">
        <v>1417</v>
      </c>
    </row>
    <row r="9" spans="1:2" outlineLevel="1">
      <c r="A9" s="184" t="s">
        <v>1461</v>
      </c>
      <c r="B9">
        <f>SUBTOTAL(3,B8:B8)</f>
        <v>1</v>
      </c>
    </row>
    <row r="10" spans="1:2" outlineLevel="2">
      <c r="A10">
        <v>5</v>
      </c>
      <c r="B10" t="s">
        <v>1418</v>
      </c>
    </row>
    <row r="11" spans="1:2" outlineLevel="1">
      <c r="A11" s="184" t="s">
        <v>1462</v>
      </c>
      <c r="B11">
        <f>SUBTOTAL(3,B10:B10)</f>
        <v>1</v>
      </c>
    </row>
    <row r="12" spans="1:2" outlineLevel="2">
      <c r="A12">
        <v>6</v>
      </c>
      <c r="B12" t="s">
        <v>1419</v>
      </c>
    </row>
    <row r="13" spans="1:2" outlineLevel="1">
      <c r="A13" s="184" t="s">
        <v>1463</v>
      </c>
      <c r="B13">
        <f>SUBTOTAL(3,B12:B12)</f>
        <v>1</v>
      </c>
    </row>
    <row r="14" spans="1:2" outlineLevel="2">
      <c r="A14">
        <v>7</v>
      </c>
      <c r="B14" t="s">
        <v>1420</v>
      </c>
    </row>
    <row r="15" spans="1:2" outlineLevel="1">
      <c r="A15" s="184" t="s">
        <v>1464</v>
      </c>
      <c r="B15">
        <f>SUBTOTAL(3,B14:B14)</f>
        <v>1</v>
      </c>
    </row>
    <row r="16" spans="1:2" outlineLevel="2">
      <c r="A16">
        <v>8</v>
      </c>
      <c r="B16" t="s">
        <v>1421</v>
      </c>
    </row>
    <row r="17" spans="1:2" outlineLevel="1">
      <c r="A17" s="184" t="s">
        <v>1465</v>
      </c>
      <c r="B17">
        <f>SUBTOTAL(3,B16:B16)</f>
        <v>1</v>
      </c>
    </row>
    <row r="18" spans="1:2" outlineLevel="2">
      <c r="A18">
        <v>9</v>
      </c>
      <c r="B18" t="s">
        <v>1422</v>
      </c>
    </row>
    <row r="19" spans="1:2" outlineLevel="1">
      <c r="A19" s="184" t="s">
        <v>1466</v>
      </c>
      <c r="B19">
        <f>SUBTOTAL(3,B18:B18)</f>
        <v>1</v>
      </c>
    </row>
    <row r="20" spans="1:2" outlineLevel="2">
      <c r="A20">
        <v>10</v>
      </c>
      <c r="B20" t="s">
        <v>62</v>
      </c>
    </row>
    <row r="21" spans="1:2" outlineLevel="1">
      <c r="A21" s="184" t="s">
        <v>1467</v>
      </c>
      <c r="B21">
        <f>SUBTOTAL(3,B20:B20)</f>
        <v>1</v>
      </c>
    </row>
    <row r="22" spans="1:2" outlineLevel="2">
      <c r="A22">
        <v>11</v>
      </c>
      <c r="B22" t="s">
        <v>1423</v>
      </c>
    </row>
    <row r="23" spans="1:2" outlineLevel="1">
      <c r="A23" s="184" t="s">
        <v>1468</v>
      </c>
      <c r="B23">
        <f>SUBTOTAL(3,B22:B22)</f>
        <v>1</v>
      </c>
    </row>
    <row r="24" spans="1:2" outlineLevel="2">
      <c r="A24">
        <v>12</v>
      </c>
      <c r="B24" t="s">
        <v>23</v>
      </c>
    </row>
    <row r="25" spans="1:2" outlineLevel="1">
      <c r="A25" s="184" t="s">
        <v>1469</v>
      </c>
      <c r="B25">
        <f>SUBTOTAL(3,B24:B24)</f>
        <v>1</v>
      </c>
    </row>
    <row r="26" spans="1:2" outlineLevel="2">
      <c r="A26">
        <v>13</v>
      </c>
      <c r="B26" t="s">
        <v>1424</v>
      </c>
    </row>
    <row r="27" spans="1:2" outlineLevel="1">
      <c r="A27" s="184" t="s">
        <v>1470</v>
      </c>
      <c r="B27">
        <f>SUBTOTAL(3,B26:B26)</f>
        <v>1</v>
      </c>
    </row>
    <row r="28" spans="1:2" outlineLevel="2">
      <c r="A28">
        <v>14</v>
      </c>
      <c r="B28" t="s">
        <v>75</v>
      </c>
    </row>
    <row r="29" spans="1:2" outlineLevel="1">
      <c r="A29" s="184" t="s">
        <v>1471</v>
      </c>
      <c r="B29">
        <f>SUBTOTAL(3,B28:B28)</f>
        <v>1</v>
      </c>
    </row>
    <row r="30" spans="1:2" outlineLevel="2">
      <c r="A30">
        <v>15</v>
      </c>
      <c r="B30" t="s">
        <v>1425</v>
      </c>
    </row>
    <row r="31" spans="1:2" outlineLevel="1">
      <c r="A31" s="184" t="s">
        <v>1472</v>
      </c>
      <c r="B31">
        <f>SUBTOTAL(3,B30:B30)</f>
        <v>1</v>
      </c>
    </row>
    <row r="32" spans="1:2" outlineLevel="2">
      <c r="A32">
        <v>16</v>
      </c>
      <c r="B32" t="s">
        <v>1388</v>
      </c>
    </row>
    <row r="33" spans="1:2" outlineLevel="1">
      <c r="A33" s="184" t="s">
        <v>1473</v>
      </c>
      <c r="B33">
        <f>SUBTOTAL(3,B32:B32)</f>
        <v>1</v>
      </c>
    </row>
    <row r="34" spans="1:2" outlineLevel="2">
      <c r="A34">
        <v>17</v>
      </c>
      <c r="B34" t="s">
        <v>1381</v>
      </c>
    </row>
    <row r="35" spans="1:2" outlineLevel="1">
      <c r="A35" s="184" t="s">
        <v>1474</v>
      </c>
      <c r="B35">
        <f>SUBTOTAL(3,B34:B34)</f>
        <v>1</v>
      </c>
    </row>
    <row r="36" spans="1:2" outlineLevel="2">
      <c r="A36">
        <v>18</v>
      </c>
      <c r="B36" t="s">
        <v>1426</v>
      </c>
    </row>
    <row r="37" spans="1:2" outlineLevel="1">
      <c r="A37" s="184" t="s">
        <v>1475</v>
      </c>
      <c r="B37">
        <f>SUBTOTAL(3,B36:B36)</f>
        <v>1</v>
      </c>
    </row>
    <row r="38" spans="1:2" outlineLevel="2">
      <c r="A38">
        <v>19</v>
      </c>
      <c r="B38" t="s">
        <v>1</v>
      </c>
    </row>
    <row r="39" spans="1:2" outlineLevel="1">
      <c r="A39" s="184" t="s">
        <v>1476</v>
      </c>
      <c r="B39">
        <f>SUBTOTAL(3,B38:B38)</f>
        <v>1</v>
      </c>
    </row>
    <row r="40" spans="1:2" outlineLevel="2">
      <c r="A40">
        <v>20</v>
      </c>
      <c r="B40" t="s">
        <v>15</v>
      </c>
    </row>
    <row r="41" spans="1:2" outlineLevel="1">
      <c r="A41" s="184" t="s">
        <v>1477</v>
      </c>
      <c r="B41">
        <f>SUBTOTAL(3,B40:B40)</f>
        <v>1</v>
      </c>
    </row>
    <row r="42" spans="1:2" outlineLevel="2">
      <c r="A42">
        <v>21</v>
      </c>
      <c r="B42" t="s">
        <v>11</v>
      </c>
    </row>
    <row r="43" spans="1:2" outlineLevel="1">
      <c r="A43" s="184" t="s">
        <v>1478</v>
      </c>
      <c r="B43">
        <f>SUBTOTAL(3,B42:B42)</f>
        <v>1</v>
      </c>
    </row>
    <row r="44" spans="1:2" outlineLevel="2">
      <c r="A44">
        <v>22</v>
      </c>
      <c r="B44" t="s">
        <v>1427</v>
      </c>
    </row>
    <row r="45" spans="1:2" outlineLevel="1">
      <c r="A45" s="184" t="s">
        <v>1479</v>
      </c>
      <c r="B45">
        <f>SUBTOTAL(3,B44:B44)</f>
        <v>1</v>
      </c>
    </row>
    <row r="46" spans="1:2" outlineLevel="2">
      <c r="A46">
        <v>23</v>
      </c>
      <c r="B46" t="s">
        <v>1428</v>
      </c>
    </row>
    <row r="47" spans="1:2" outlineLevel="1">
      <c r="A47" s="184" t="s">
        <v>1480</v>
      </c>
      <c r="B47">
        <f>SUBTOTAL(3,B46:B46)</f>
        <v>1</v>
      </c>
    </row>
    <row r="48" spans="1:2" outlineLevel="2">
      <c r="A48">
        <v>24</v>
      </c>
      <c r="B48" t="s">
        <v>159</v>
      </c>
    </row>
    <row r="49" spans="1:2" outlineLevel="1">
      <c r="A49" s="184" t="s">
        <v>1481</v>
      </c>
      <c r="B49">
        <f>SUBTOTAL(3,B48:B48)</f>
        <v>1</v>
      </c>
    </row>
    <row r="50" spans="1:2" outlineLevel="2">
      <c r="A50">
        <v>25</v>
      </c>
      <c r="B50" t="s">
        <v>1429</v>
      </c>
    </row>
    <row r="51" spans="1:2" outlineLevel="1">
      <c r="A51" s="184" t="s">
        <v>1482</v>
      </c>
      <c r="B51">
        <f>SUBTOTAL(3,B50:B50)</f>
        <v>1</v>
      </c>
    </row>
    <row r="52" spans="1:2" outlineLevel="2">
      <c r="A52">
        <v>26</v>
      </c>
      <c r="B52" t="s">
        <v>1430</v>
      </c>
    </row>
    <row r="53" spans="1:2" outlineLevel="1">
      <c r="A53" s="184" t="s">
        <v>1483</v>
      </c>
      <c r="B53">
        <f>SUBTOTAL(3,B52:B52)</f>
        <v>1</v>
      </c>
    </row>
    <row r="54" spans="1:2" outlineLevel="2">
      <c r="A54">
        <v>27</v>
      </c>
      <c r="B54" t="s">
        <v>1407</v>
      </c>
    </row>
    <row r="55" spans="1:2" outlineLevel="1">
      <c r="A55" s="184" t="s">
        <v>1484</v>
      </c>
      <c r="B55">
        <f>SUBTOTAL(3,B54:B54)</f>
        <v>1</v>
      </c>
    </row>
    <row r="56" spans="1:2" outlineLevel="2">
      <c r="A56">
        <v>28</v>
      </c>
      <c r="B56" t="s">
        <v>71</v>
      </c>
    </row>
    <row r="57" spans="1:2" outlineLevel="1">
      <c r="A57" s="184" t="s">
        <v>788</v>
      </c>
      <c r="B57">
        <f>SUBTOTAL(3,B56:B56)</f>
        <v>1</v>
      </c>
    </row>
    <row r="58" spans="1:2" outlineLevel="2">
      <c r="A58">
        <v>29</v>
      </c>
      <c r="B58" t="s">
        <v>1431</v>
      </c>
    </row>
    <row r="59" spans="1:2" outlineLevel="1">
      <c r="A59" s="184" t="s">
        <v>1485</v>
      </c>
      <c r="B59">
        <f>SUBTOTAL(3,B58:B58)</f>
        <v>1</v>
      </c>
    </row>
    <row r="60" spans="1:2" outlineLevel="2">
      <c r="A60">
        <v>30</v>
      </c>
      <c r="B60" t="s">
        <v>1432</v>
      </c>
    </row>
    <row r="61" spans="1:2" outlineLevel="1">
      <c r="A61" s="184" t="s">
        <v>1486</v>
      </c>
      <c r="B61">
        <f>SUBTOTAL(3,B60:B60)</f>
        <v>1</v>
      </c>
    </row>
    <row r="62" spans="1:2" outlineLevel="2">
      <c r="A62">
        <v>31</v>
      </c>
      <c r="B62" t="s">
        <v>109</v>
      </c>
    </row>
    <row r="63" spans="1:2" outlineLevel="1">
      <c r="A63" s="184" t="s">
        <v>1283</v>
      </c>
      <c r="B63">
        <f>SUBTOTAL(3,B62:B62)</f>
        <v>1</v>
      </c>
    </row>
    <row r="64" spans="1:2" outlineLevel="2">
      <c r="A64">
        <v>32</v>
      </c>
      <c r="B64" t="s">
        <v>1412</v>
      </c>
    </row>
    <row r="65" spans="1:2" outlineLevel="1">
      <c r="A65" s="184" t="s">
        <v>1487</v>
      </c>
      <c r="B65">
        <f>SUBTOTAL(3,B64:B64)</f>
        <v>1</v>
      </c>
    </row>
    <row r="66" spans="1:2" outlineLevel="2">
      <c r="A66">
        <v>33</v>
      </c>
      <c r="B66" t="s">
        <v>1433</v>
      </c>
    </row>
    <row r="67" spans="1:2" outlineLevel="1">
      <c r="A67" s="184" t="s">
        <v>1488</v>
      </c>
      <c r="B67">
        <f>SUBTOTAL(3,B66:B66)</f>
        <v>1</v>
      </c>
    </row>
    <row r="68" spans="1:2" outlineLevel="2">
      <c r="A68">
        <v>34</v>
      </c>
      <c r="B68" t="s">
        <v>1434</v>
      </c>
    </row>
    <row r="69" spans="1:2" outlineLevel="1">
      <c r="A69" s="184" t="s">
        <v>1489</v>
      </c>
      <c r="B69">
        <f>SUBTOTAL(3,B68:B68)</f>
        <v>1</v>
      </c>
    </row>
    <row r="70" spans="1:2" outlineLevel="2">
      <c r="A70">
        <v>35</v>
      </c>
      <c r="B70" t="s">
        <v>34</v>
      </c>
    </row>
    <row r="71" spans="1:2" outlineLevel="1">
      <c r="A71" s="184" t="s">
        <v>1490</v>
      </c>
      <c r="B71">
        <f>SUBTOTAL(3,B70:B70)</f>
        <v>1</v>
      </c>
    </row>
    <row r="72" spans="1:2" outlineLevel="2">
      <c r="A72">
        <v>36</v>
      </c>
      <c r="B72" t="s">
        <v>18</v>
      </c>
    </row>
    <row r="73" spans="1:2" outlineLevel="1">
      <c r="A73" s="184" t="s">
        <v>1491</v>
      </c>
      <c r="B73">
        <f>SUBTOTAL(3,B72:B72)</f>
        <v>1</v>
      </c>
    </row>
    <row r="74" spans="1:2" outlineLevel="2">
      <c r="A74">
        <v>37</v>
      </c>
      <c r="B74" t="s">
        <v>1435</v>
      </c>
    </row>
    <row r="75" spans="1:2" outlineLevel="1">
      <c r="A75" s="184" t="s">
        <v>1492</v>
      </c>
      <c r="B75">
        <f>SUBTOTAL(3,B74:B74)</f>
        <v>1</v>
      </c>
    </row>
    <row r="76" spans="1:2" outlineLevel="2">
      <c r="A76">
        <v>38</v>
      </c>
      <c r="B76" t="s">
        <v>129</v>
      </c>
    </row>
    <row r="77" spans="1:2" outlineLevel="1">
      <c r="A77" s="184" t="s">
        <v>811</v>
      </c>
      <c r="B77">
        <f>SUBTOTAL(3,B76:B76)</f>
        <v>1</v>
      </c>
    </row>
    <row r="78" spans="1:2" outlineLevel="2">
      <c r="A78">
        <v>39</v>
      </c>
      <c r="B78" t="s">
        <v>1436</v>
      </c>
    </row>
    <row r="79" spans="1:2" outlineLevel="1">
      <c r="A79" s="184" t="s">
        <v>1493</v>
      </c>
      <c r="B79">
        <f>SUBTOTAL(3,B78:B78)</f>
        <v>1</v>
      </c>
    </row>
    <row r="80" spans="1:2" outlineLevel="2">
      <c r="A80">
        <v>40</v>
      </c>
      <c r="B80" t="s">
        <v>1437</v>
      </c>
    </row>
    <row r="81" spans="1:2" outlineLevel="1">
      <c r="A81" s="184" t="s">
        <v>1494</v>
      </c>
      <c r="B81">
        <f>SUBTOTAL(3,B80:B80)</f>
        <v>1</v>
      </c>
    </row>
    <row r="82" spans="1:2" outlineLevel="2">
      <c r="A82">
        <v>41</v>
      </c>
      <c r="B82" t="s">
        <v>1457</v>
      </c>
    </row>
    <row r="83" spans="1:2" outlineLevel="1">
      <c r="A83" s="184" t="s">
        <v>1495</v>
      </c>
      <c r="B83">
        <f>SUBTOTAL(3,B82:B82)</f>
        <v>1</v>
      </c>
    </row>
    <row r="84" spans="1:2" outlineLevel="2">
      <c r="A84">
        <v>42</v>
      </c>
      <c r="B84" t="s">
        <v>1438</v>
      </c>
    </row>
    <row r="85" spans="1:2" outlineLevel="1">
      <c r="A85" s="184" t="s">
        <v>1496</v>
      </c>
      <c r="B85">
        <f>SUBTOTAL(3,B84:B84)</f>
        <v>1</v>
      </c>
    </row>
    <row r="86" spans="1:2" outlineLevel="2">
      <c r="A86">
        <v>43</v>
      </c>
      <c r="B86" t="s">
        <v>26</v>
      </c>
    </row>
    <row r="87" spans="1:2" outlineLevel="1">
      <c r="A87" s="184" t="s">
        <v>1497</v>
      </c>
      <c r="B87">
        <f>SUBTOTAL(3,B86:B86)</f>
        <v>1</v>
      </c>
    </row>
    <row r="88" spans="1:2" outlineLevel="2">
      <c r="A88">
        <v>44</v>
      </c>
      <c r="B88" t="s">
        <v>145</v>
      </c>
    </row>
    <row r="89" spans="1:2" outlineLevel="1">
      <c r="A89" s="184" t="s">
        <v>1498</v>
      </c>
      <c r="B89">
        <f>SUBTOTAL(3,B88:B88)</f>
        <v>1</v>
      </c>
    </row>
    <row r="90" spans="1:2" outlineLevel="2">
      <c r="A90">
        <v>45</v>
      </c>
      <c r="B90" t="s">
        <v>144</v>
      </c>
    </row>
    <row r="91" spans="1:2" outlineLevel="1">
      <c r="A91" s="184" t="s">
        <v>1499</v>
      </c>
      <c r="B91">
        <f>SUBTOTAL(3,B90:B90)</f>
        <v>1</v>
      </c>
    </row>
    <row r="92" spans="1:2" outlineLevel="2">
      <c r="A92">
        <v>46</v>
      </c>
      <c r="B92" t="s">
        <v>143</v>
      </c>
    </row>
    <row r="93" spans="1:2" outlineLevel="1">
      <c r="A93" s="184" t="s">
        <v>1311</v>
      </c>
      <c r="B93">
        <f>SUBTOTAL(3,B92:B92)</f>
        <v>1</v>
      </c>
    </row>
    <row r="94" spans="1:2" outlineLevel="2">
      <c r="A94">
        <v>47</v>
      </c>
      <c r="B94" t="s">
        <v>1392</v>
      </c>
    </row>
    <row r="95" spans="1:2" outlineLevel="1">
      <c r="A95" s="184" t="s">
        <v>1500</v>
      </c>
      <c r="B95">
        <f>SUBTOTAL(3,B94:B94)</f>
        <v>1</v>
      </c>
    </row>
    <row r="96" spans="1:2" outlineLevel="2">
      <c r="A96">
        <v>48</v>
      </c>
      <c r="B96" t="s">
        <v>1389</v>
      </c>
    </row>
    <row r="97" spans="1:2" outlineLevel="1">
      <c r="A97" s="184" t="s">
        <v>1501</v>
      </c>
      <c r="B97">
        <f>SUBTOTAL(3,B96:B96)</f>
        <v>1</v>
      </c>
    </row>
    <row r="98" spans="1:2" outlineLevel="2">
      <c r="A98">
        <v>49</v>
      </c>
      <c r="B98" t="s">
        <v>1439</v>
      </c>
    </row>
    <row r="99" spans="1:2" outlineLevel="1">
      <c r="A99" s="184" t="s">
        <v>1502</v>
      </c>
      <c r="B99">
        <f>SUBTOTAL(3,B98:B98)</f>
        <v>1</v>
      </c>
    </row>
    <row r="100" spans="1:2" outlineLevel="2">
      <c r="A100">
        <v>50</v>
      </c>
      <c r="B100" t="s">
        <v>1440</v>
      </c>
    </row>
    <row r="101" spans="1:2" outlineLevel="1">
      <c r="A101" s="184" t="s">
        <v>1503</v>
      </c>
      <c r="B101">
        <f>SUBTOTAL(3,B100:B100)</f>
        <v>1</v>
      </c>
    </row>
    <row r="102" spans="1:2" outlineLevel="2">
      <c r="A102">
        <v>51</v>
      </c>
      <c r="B102" t="s">
        <v>29</v>
      </c>
    </row>
    <row r="103" spans="1:2" outlineLevel="1">
      <c r="A103" s="184" t="s">
        <v>1504</v>
      </c>
      <c r="B103">
        <f>SUBTOTAL(3,B102:B102)</f>
        <v>1</v>
      </c>
    </row>
    <row r="104" spans="1:2" outlineLevel="2">
      <c r="A104">
        <v>52</v>
      </c>
      <c r="B104" t="s">
        <v>126</v>
      </c>
    </row>
    <row r="105" spans="1:2" outlineLevel="1">
      <c r="A105" s="184" t="s">
        <v>1266</v>
      </c>
      <c r="B105">
        <f>SUBTOTAL(3,B104:B104)</f>
        <v>1</v>
      </c>
    </row>
    <row r="106" spans="1:2" outlineLevel="2">
      <c r="A106">
        <v>53</v>
      </c>
      <c r="B106" t="s">
        <v>160</v>
      </c>
    </row>
    <row r="107" spans="1:2" outlineLevel="1">
      <c r="A107" s="184" t="s">
        <v>1505</v>
      </c>
      <c r="B107">
        <f>SUBTOTAL(3,B106:B106)</f>
        <v>1</v>
      </c>
    </row>
    <row r="108" spans="1:2" outlineLevel="2">
      <c r="A108">
        <v>54</v>
      </c>
      <c r="B108" t="s">
        <v>1384</v>
      </c>
    </row>
    <row r="109" spans="1:2" outlineLevel="1">
      <c r="A109" s="184" t="s">
        <v>1506</v>
      </c>
      <c r="B109">
        <f>SUBTOTAL(3,B108:B108)</f>
        <v>1</v>
      </c>
    </row>
    <row r="110" spans="1:2" outlineLevel="2">
      <c r="A110">
        <v>55</v>
      </c>
      <c r="B110" t="s">
        <v>1217</v>
      </c>
    </row>
    <row r="111" spans="1:2" outlineLevel="1">
      <c r="A111" s="184" t="s">
        <v>1314</v>
      </c>
      <c r="B111">
        <f>SUBTOTAL(3,B110:B110)</f>
        <v>1</v>
      </c>
    </row>
    <row r="112" spans="1:2" outlineLevel="2">
      <c r="A112">
        <v>56</v>
      </c>
      <c r="B112" t="s">
        <v>623</v>
      </c>
    </row>
    <row r="113" spans="1:2" outlineLevel="1">
      <c r="A113" s="184" t="s">
        <v>815</v>
      </c>
      <c r="B113">
        <f>SUBTOTAL(3,B112:B112)</f>
        <v>1</v>
      </c>
    </row>
    <row r="114" spans="1:2" outlineLevel="2">
      <c r="A114">
        <v>57</v>
      </c>
      <c r="B114" t="s">
        <v>970</v>
      </c>
    </row>
    <row r="115" spans="1:2" outlineLevel="1">
      <c r="A115" s="184" t="s">
        <v>1249</v>
      </c>
      <c r="B115">
        <f>SUBTOTAL(3,B114:B114)</f>
        <v>1</v>
      </c>
    </row>
    <row r="116" spans="1:2" outlineLevel="2">
      <c r="A116">
        <v>58</v>
      </c>
      <c r="B116" t="s">
        <v>973</v>
      </c>
    </row>
    <row r="117" spans="1:2" outlineLevel="1">
      <c r="A117" s="184" t="s">
        <v>1250</v>
      </c>
      <c r="B117">
        <f>SUBTOTAL(3,B116:B116)</f>
        <v>1</v>
      </c>
    </row>
    <row r="118" spans="1:2" outlineLevel="2">
      <c r="A118">
        <v>59</v>
      </c>
      <c r="B118" t="s">
        <v>977</v>
      </c>
    </row>
    <row r="119" spans="1:2" outlineLevel="1">
      <c r="A119" s="184" t="s">
        <v>1251</v>
      </c>
      <c r="B119">
        <f>SUBTOTAL(3,B118:B118)</f>
        <v>1</v>
      </c>
    </row>
    <row r="120" spans="1:2" outlineLevel="2">
      <c r="A120">
        <v>60</v>
      </c>
      <c r="B120" t="s">
        <v>980</v>
      </c>
    </row>
    <row r="121" spans="1:2" outlineLevel="1">
      <c r="A121" s="184" t="s">
        <v>1252</v>
      </c>
      <c r="B121">
        <f>SUBTOTAL(3,B120:B120)</f>
        <v>1</v>
      </c>
    </row>
    <row r="122" spans="1:2" outlineLevel="2">
      <c r="A122">
        <v>61</v>
      </c>
      <c r="B122" t="s">
        <v>1455</v>
      </c>
    </row>
    <row r="123" spans="1:2" outlineLevel="1">
      <c r="A123" s="184" t="s">
        <v>1507</v>
      </c>
      <c r="B123">
        <f>SUBTOTAL(3,B122:B122)</f>
        <v>1</v>
      </c>
    </row>
    <row r="124" spans="1:2" outlineLevel="2">
      <c r="A124">
        <v>62</v>
      </c>
      <c r="B124" t="s">
        <v>987</v>
      </c>
    </row>
    <row r="125" spans="1:2" outlineLevel="1">
      <c r="A125" s="184" t="s">
        <v>1254</v>
      </c>
      <c r="B125">
        <f>SUBTOTAL(3,B124:B124)</f>
        <v>1</v>
      </c>
    </row>
    <row r="126" spans="1:2" outlineLevel="2">
      <c r="A126">
        <v>63</v>
      </c>
      <c r="B126" t="s">
        <v>1456</v>
      </c>
    </row>
    <row r="127" spans="1:2" outlineLevel="1">
      <c r="A127" s="184" t="s">
        <v>1508</v>
      </c>
      <c r="B127">
        <f>SUBTOTAL(3,B126:B126)</f>
        <v>1</v>
      </c>
    </row>
    <row r="128" spans="1:2" outlineLevel="2">
      <c r="A128">
        <v>64</v>
      </c>
      <c r="B128" t="s">
        <v>1452</v>
      </c>
    </row>
    <row r="129" spans="1:2" outlineLevel="1">
      <c r="A129" s="184" t="s">
        <v>1509</v>
      </c>
      <c r="B129">
        <f>SUBTOTAL(3,B128:B128)</f>
        <v>1</v>
      </c>
    </row>
    <row r="130" spans="1:2" outlineLevel="2">
      <c r="A130">
        <v>65</v>
      </c>
      <c r="B130" t="s">
        <v>1385</v>
      </c>
    </row>
    <row r="131" spans="1:2" outlineLevel="2">
      <c r="A131">
        <v>66</v>
      </c>
      <c r="B131" t="s">
        <v>1385</v>
      </c>
    </row>
    <row r="132" spans="1:2" outlineLevel="1">
      <c r="A132" s="184" t="s">
        <v>1510</v>
      </c>
      <c r="B132">
        <f>SUBTOTAL(3,B130:B131)</f>
        <v>2</v>
      </c>
    </row>
    <row r="133" spans="1:2" outlineLevel="2">
      <c r="A133">
        <v>67</v>
      </c>
      <c r="B133" t="s">
        <v>1409</v>
      </c>
    </row>
    <row r="134" spans="1:2" outlineLevel="2">
      <c r="A134">
        <v>68</v>
      </c>
      <c r="B134" t="s">
        <v>1409</v>
      </c>
    </row>
    <row r="135" spans="1:2" outlineLevel="1">
      <c r="A135" s="184" t="s">
        <v>1511</v>
      </c>
      <c r="B135">
        <f>SUBTOTAL(3,B133:B134)</f>
        <v>2</v>
      </c>
    </row>
    <row r="136" spans="1:2" outlineLevel="2">
      <c r="A136">
        <v>69</v>
      </c>
      <c r="B136" t="s">
        <v>1010</v>
      </c>
    </row>
    <row r="137" spans="1:2" outlineLevel="1">
      <c r="A137" s="184" t="s">
        <v>1261</v>
      </c>
      <c r="B137">
        <f>SUBTOTAL(3,B136:B136)</f>
        <v>1</v>
      </c>
    </row>
    <row r="138" spans="1:2" outlineLevel="2">
      <c r="A138">
        <v>70</v>
      </c>
      <c r="B138" t="s">
        <v>1453</v>
      </c>
    </row>
    <row r="139" spans="1:2" outlineLevel="1">
      <c r="A139" s="184" t="s">
        <v>1512</v>
      </c>
      <c r="B139">
        <f>SUBTOTAL(3,B138:B138)</f>
        <v>1</v>
      </c>
    </row>
    <row r="140" spans="1:2" outlineLevel="2">
      <c r="A140">
        <v>71</v>
      </c>
      <c r="B140" t="s">
        <v>1010</v>
      </c>
    </row>
    <row r="141" spans="1:2" outlineLevel="1">
      <c r="A141" s="184" t="s">
        <v>1261</v>
      </c>
      <c r="B141">
        <f>SUBTOTAL(3,B140:B140)</f>
        <v>1</v>
      </c>
    </row>
    <row r="142" spans="1:2" outlineLevel="2">
      <c r="A142">
        <v>72</v>
      </c>
      <c r="B142" t="s">
        <v>1019</v>
      </c>
    </row>
    <row r="143" spans="1:2" outlineLevel="1">
      <c r="A143" s="184" t="s">
        <v>1263</v>
      </c>
      <c r="B143">
        <f>SUBTOTAL(3,B142:B142)</f>
        <v>1</v>
      </c>
    </row>
    <row r="144" spans="1:2" outlineLevel="2">
      <c r="A144">
        <v>73</v>
      </c>
      <c r="B144" t="s">
        <v>1453</v>
      </c>
    </row>
    <row r="145" spans="1:2" outlineLevel="1">
      <c r="A145" s="184" t="s">
        <v>1512</v>
      </c>
      <c r="B145">
        <f>SUBTOTAL(3,B144:B144)</f>
        <v>1</v>
      </c>
    </row>
    <row r="146" spans="1:2" outlineLevel="2">
      <c r="A146">
        <v>74</v>
      </c>
      <c r="B146" t="s">
        <v>1398</v>
      </c>
    </row>
    <row r="147" spans="1:2" outlineLevel="1">
      <c r="A147" s="184" t="s">
        <v>1513</v>
      </c>
      <c r="B147">
        <f>SUBTOTAL(3,B146:B146)</f>
        <v>1</v>
      </c>
    </row>
    <row r="148" spans="1:2" outlineLevel="2">
      <c r="A148">
        <v>75</v>
      </c>
      <c r="B148" t="s">
        <v>132</v>
      </c>
    </row>
    <row r="149" spans="1:2" outlineLevel="1">
      <c r="A149" s="184" t="s">
        <v>1265</v>
      </c>
      <c r="B149">
        <f>SUBTOTAL(3,B148:B148)</f>
        <v>1</v>
      </c>
    </row>
    <row r="150" spans="1:2" outlineLevel="2">
      <c r="A150">
        <v>76</v>
      </c>
      <c r="B150" t="s">
        <v>126</v>
      </c>
    </row>
    <row r="151" spans="1:2" outlineLevel="1">
      <c r="A151" s="184" t="s">
        <v>1266</v>
      </c>
      <c r="B151">
        <f>SUBTOTAL(3,B150:B150)</f>
        <v>1</v>
      </c>
    </row>
    <row r="152" spans="1:2" outlineLevel="2">
      <c r="A152">
        <v>77</v>
      </c>
      <c r="B152" t="s">
        <v>1041</v>
      </c>
    </row>
    <row r="153" spans="1:2" outlineLevel="1">
      <c r="A153" s="184" t="s">
        <v>1267</v>
      </c>
      <c r="B153">
        <f>SUBTOTAL(3,B152:B152)</f>
        <v>1</v>
      </c>
    </row>
    <row r="154" spans="1:2" outlineLevel="2">
      <c r="A154">
        <v>78</v>
      </c>
      <c r="B154" t="s">
        <v>1048</v>
      </c>
    </row>
    <row r="155" spans="1:2" outlineLevel="1">
      <c r="A155" s="184" t="s">
        <v>1268</v>
      </c>
      <c r="B155">
        <f>SUBTOTAL(3,B154:B154)</f>
        <v>1</v>
      </c>
    </row>
    <row r="156" spans="1:2" outlineLevel="2">
      <c r="A156">
        <v>79</v>
      </c>
      <c r="B156" t="s">
        <v>1050</v>
      </c>
    </row>
    <row r="157" spans="1:2" outlineLevel="1">
      <c r="A157" s="184" t="s">
        <v>1269</v>
      </c>
      <c r="B157">
        <f>SUBTOTAL(3,B156:B156)</f>
        <v>1</v>
      </c>
    </row>
    <row r="158" spans="1:2" outlineLevel="2">
      <c r="A158">
        <v>80</v>
      </c>
      <c r="B158" t="s">
        <v>1052</v>
      </c>
    </row>
    <row r="159" spans="1:2" outlineLevel="1">
      <c r="A159" s="184" t="s">
        <v>1270</v>
      </c>
      <c r="B159">
        <f>SUBTOTAL(3,B158:B158)</f>
        <v>1</v>
      </c>
    </row>
    <row r="160" spans="1:2" outlineLevel="2">
      <c r="A160">
        <v>81</v>
      </c>
      <c r="B160" t="s">
        <v>1041</v>
      </c>
    </row>
    <row r="161" spans="1:2" outlineLevel="1">
      <c r="A161" s="184" t="s">
        <v>1267</v>
      </c>
      <c r="B161">
        <f>SUBTOTAL(3,B160:B160)</f>
        <v>1</v>
      </c>
    </row>
    <row r="162" spans="1:2" outlineLevel="2">
      <c r="A162">
        <v>82</v>
      </c>
      <c r="B162" t="s">
        <v>517</v>
      </c>
    </row>
    <row r="163" spans="1:2" outlineLevel="1">
      <c r="A163" s="184" t="s">
        <v>785</v>
      </c>
      <c r="B163">
        <f>SUBTOTAL(3,B162:B162)</f>
        <v>1</v>
      </c>
    </row>
    <row r="164" spans="1:2" outlineLevel="2">
      <c r="A164">
        <v>83</v>
      </c>
      <c r="B164" t="s">
        <v>527</v>
      </c>
    </row>
    <row r="165" spans="1:2" outlineLevel="1">
      <c r="A165" s="184" t="s">
        <v>786</v>
      </c>
      <c r="B165">
        <f>SUBTOTAL(3,B164:B164)</f>
        <v>1</v>
      </c>
    </row>
    <row r="166" spans="1:2" outlineLevel="2">
      <c r="A166">
        <v>84</v>
      </c>
      <c r="B166" t="s">
        <v>1066</v>
      </c>
    </row>
    <row r="167" spans="1:2" outlineLevel="1">
      <c r="A167" s="184" t="s">
        <v>1271</v>
      </c>
      <c r="B167">
        <f>SUBTOTAL(3,B166:B166)</f>
        <v>1</v>
      </c>
    </row>
    <row r="168" spans="1:2" outlineLevel="2">
      <c r="A168">
        <v>85</v>
      </c>
      <c r="B168" t="s">
        <v>531</v>
      </c>
    </row>
    <row r="169" spans="1:2" outlineLevel="1">
      <c r="A169" s="184" t="s">
        <v>787</v>
      </c>
      <c r="B169">
        <f>SUBTOTAL(3,B168:B168)</f>
        <v>1</v>
      </c>
    </row>
    <row r="170" spans="1:2" outlineLevel="2">
      <c r="A170">
        <v>86</v>
      </c>
      <c r="B170" t="s">
        <v>71</v>
      </c>
    </row>
    <row r="171" spans="1:2" outlineLevel="1">
      <c r="A171" s="184" t="s">
        <v>788</v>
      </c>
      <c r="B171">
        <f>SUBTOTAL(3,B170:B170)</f>
        <v>1</v>
      </c>
    </row>
    <row r="172" spans="1:2" outlineLevel="2">
      <c r="A172">
        <v>87</v>
      </c>
      <c r="B172" t="s">
        <v>1081</v>
      </c>
    </row>
    <row r="173" spans="1:2" outlineLevel="1">
      <c r="A173" s="184" t="s">
        <v>1272</v>
      </c>
      <c r="B173">
        <f>SUBTOTAL(3,B172:B172)</f>
        <v>1</v>
      </c>
    </row>
    <row r="174" spans="1:2" outlineLevel="2">
      <c r="A174">
        <v>88</v>
      </c>
      <c r="B174" t="s">
        <v>1085</v>
      </c>
    </row>
    <row r="175" spans="1:2" outlineLevel="1">
      <c r="A175" s="184" t="s">
        <v>1273</v>
      </c>
      <c r="B175">
        <f>SUBTOTAL(3,B174:B174)</f>
        <v>1</v>
      </c>
    </row>
    <row r="176" spans="1:2" outlineLevel="2">
      <c r="A176">
        <v>89</v>
      </c>
      <c r="B176" t="s">
        <v>1092</v>
      </c>
    </row>
    <row r="177" spans="1:2" outlineLevel="2">
      <c r="A177">
        <v>90</v>
      </c>
      <c r="B177" t="s">
        <v>1092</v>
      </c>
    </row>
    <row r="178" spans="1:2" outlineLevel="1">
      <c r="A178" s="184" t="s">
        <v>1275</v>
      </c>
      <c r="B178">
        <f>SUBTOTAL(3,B176:B177)</f>
        <v>2</v>
      </c>
    </row>
    <row r="179" spans="1:2" outlineLevel="2">
      <c r="A179">
        <v>91</v>
      </c>
      <c r="B179" t="s">
        <v>109</v>
      </c>
    </row>
    <row r="180" spans="1:2" outlineLevel="2">
      <c r="A180">
        <v>92</v>
      </c>
      <c r="B180" t="s">
        <v>109</v>
      </c>
    </row>
    <row r="181" spans="1:2" outlineLevel="1">
      <c r="A181" s="184" t="s">
        <v>1283</v>
      </c>
      <c r="B181">
        <f>SUBTOTAL(3,B179:B180)</f>
        <v>2</v>
      </c>
    </row>
    <row r="182" spans="1:2" outlineLevel="2">
      <c r="A182">
        <v>93</v>
      </c>
      <c r="B182" t="s">
        <v>1410</v>
      </c>
    </row>
    <row r="183" spans="1:2" outlineLevel="2">
      <c r="A183">
        <v>94</v>
      </c>
      <c r="B183" t="s">
        <v>1410</v>
      </c>
    </row>
    <row r="184" spans="1:2" outlineLevel="1">
      <c r="A184" s="184" t="s">
        <v>1514</v>
      </c>
      <c r="B184">
        <f>SUBTOTAL(3,B182:B183)</f>
        <v>2</v>
      </c>
    </row>
    <row r="185" spans="1:2" outlineLevel="2">
      <c r="A185">
        <v>95</v>
      </c>
      <c r="B185" t="s">
        <v>1452</v>
      </c>
    </row>
    <row r="186" spans="1:2" outlineLevel="1">
      <c r="A186" s="184" t="s">
        <v>1509</v>
      </c>
      <c r="B186">
        <f>SUBTOTAL(3,B185:B185)</f>
        <v>1</v>
      </c>
    </row>
    <row r="187" spans="1:2" outlineLevel="2">
      <c r="A187">
        <v>96</v>
      </c>
      <c r="B187" t="s">
        <v>1388</v>
      </c>
    </row>
    <row r="188" spans="1:2" outlineLevel="1">
      <c r="A188" s="184" t="s">
        <v>1473</v>
      </c>
      <c r="B188">
        <f>SUBTOTAL(3,B187:B187)</f>
        <v>1</v>
      </c>
    </row>
    <row r="189" spans="1:2" outlineLevel="2">
      <c r="A189">
        <v>97</v>
      </c>
      <c r="B189" t="s">
        <v>1411</v>
      </c>
    </row>
    <row r="190" spans="1:2" outlineLevel="1">
      <c r="A190" s="184" t="s">
        <v>1515</v>
      </c>
      <c r="B190">
        <f>SUBTOTAL(3,B189:B189)</f>
        <v>1</v>
      </c>
    </row>
    <row r="191" spans="1:2" outlineLevel="2">
      <c r="A191">
        <v>98</v>
      </c>
      <c r="B191" t="s">
        <v>1412</v>
      </c>
    </row>
    <row r="192" spans="1:2" outlineLevel="1">
      <c r="A192" s="184" t="s">
        <v>1487</v>
      </c>
      <c r="B192">
        <f>SUBTOTAL(3,B191:B191)</f>
        <v>1</v>
      </c>
    </row>
    <row r="193" spans="1:2" outlineLevel="2">
      <c r="A193">
        <v>99</v>
      </c>
      <c r="B193" t="s">
        <v>109</v>
      </c>
    </row>
    <row r="194" spans="1:2" outlineLevel="1">
      <c r="A194" s="184" t="s">
        <v>1283</v>
      </c>
      <c r="B194">
        <f>SUBTOTAL(3,B193:B193)</f>
        <v>1</v>
      </c>
    </row>
    <row r="195" spans="1:2" outlineLevel="2">
      <c r="A195">
        <v>100</v>
      </c>
      <c r="B195" t="s">
        <v>1388</v>
      </c>
    </row>
    <row r="196" spans="1:2" outlineLevel="1">
      <c r="A196" s="184" t="s">
        <v>1473</v>
      </c>
      <c r="B196">
        <f>SUBTOTAL(3,B195:B195)</f>
        <v>1</v>
      </c>
    </row>
    <row r="197" spans="1:2" outlineLevel="2">
      <c r="A197">
        <v>101</v>
      </c>
      <c r="B197" t="s">
        <v>1441</v>
      </c>
    </row>
    <row r="198" spans="1:2" outlineLevel="1">
      <c r="A198" s="184" t="s">
        <v>1516</v>
      </c>
      <c r="B198">
        <f>SUBTOTAL(3,B197:B197)</f>
        <v>1</v>
      </c>
    </row>
    <row r="199" spans="1:2" outlineLevel="2">
      <c r="A199">
        <v>102</v>
      </c>
      <c r="B199" t="s">
        <v>1413</v>
      </c>
    </row>
    <row r="200" spans="1:2" outlineLevel="1">
      <c r="A200" s="184" t="s">
        <v>1517</v>
      </c>
      <c r="B200">
        <f>SUBTOTAL(3,B199:B199)</f>
        <v>1</v>
      </c>
    </row>
    <row r="201" spans="1:2" outlineLevel="2">
      <c r="A201">
        <v>103</v>
      </c>
      <c r="B201" t="s">
        <v>1442</v>
      </c>
    </row>
    <row r="202" spans="1:2" outlineLevel="1">
      <c r="A202" s="184" t="s">
        <v>1518</v>
      </c>
      <c r="B202">
        <f>SUBTOTAL(3,B201:B201)</f>
        <v>1</v>
      </c>
    </row>
    <row r="203" spans="1:2" outlineLevel="2">
      <c r="A203">
        <v>104</v>
      </c>
      <c r="B203" t="s">
        <v>1414</v>
      </c>
    </row>
    <row r="204" spans="1:2" outlineLevel="1">
      <c r="A204" s="184" t="s">
        <v>1519</v>
      </c>
      <c r="B204">
        <f>SUBTOTAL(3,B203:B203)</f>
        <v>1</v>
      </c>
    </row>
    <row r="205" spans="1:2" outlineLevel="2">
      <c r="A205">
        <v>105</v>
      </c>
      <c r="B205" t="s">
        <v>1407</v>
      </c>
    </row>
    <row r="206" spans="1:2" outlineLevel="1">
      <c r="A206" s="184" t="s">
        <v>1484</v>
      </c>
      <c r="B206">
        <f>SUBTOTAL(3,B205:B205)</f>
        <v>1</v>
      </c>
    </row>
    <row r="207" spans="1:2" outlineLevel="2">
      <c r="A207">
        <v>106</v>
      </c>
      <c r="B207" t="s">
        <v>1441</v>
      </c>
    </row>
    <row r="208" spans="1:2" outlineLevel="1">
      <c r="A208" s="184" t="s">
        <v>1516</v>
      </c>
      <c r="B208">
        <f>SUBTOTAL(3,B207:B207)</f>
        <v>1</v>
      </c>
    </row>
    <row r="209" spans="1:2" outlineLevel="2">
      <c r="A209">
        <v>107</v>
      </c>
      <c r="B209" t="s">
        <v>1442</v>
      </c>
    </row>
    <row r="210" spans="1:2" outlineLevel="1">
      <c r="A210" s="184" t="s">
        <v>1518</v>
      </c>
      <c r="B210">
        <f>SUBTOTAL(3,B209:B209)</f>
        <v>1</v>
      </c>
    </row>
    <row r="211" spans="1:2" outlineLevel="2">
      <c r="A211">
        <v>108</v>
      </c>
      <c r="B211" t="s">
        <v>527</v>
      </c>
    </row>
    <row r="212" spans="1:2" outlineLevel="1">
      <c r="A212" s="184" t="s">
        <v>786</v>
      </c>
      <c r="B212">
        <f>SUBTOTAL(3,B211:B211)</f>
        <v>1</v>
      </c>
    </row>
    <row r="213" spans="1:2" outlineLevel="2">
      <c r="A213">
        <v>109</v>
      </c>
      <c r="B213" t="s">
        <v>132</v>
      </c>
    </row>
    <row r="214" spans="1:2" outlineLevel="1">
      <c r="A214" s="184" t="s">
        <v>1265</v>
      </c>
      <c r="B214">
        <f>SUBTOTAL(3,B213:B213)</f>
        <v>1</v>
      </c>
    </row>
    <row r="215" spans="1:2" outlineLevel="2">
      <c r="A215">
        <v>110</v>
      </c>
      <c r="B215" t="s">
        <v>1145</v>
      </c>
    </row>
    <row r="216" spans="1:2" outlineLevel="1">
      <c r="A216" s="184" t="s">
        <v>1290</v>
      </c>
      <c r="B216">
        <f>SUBTOTAL(3,B215:B215)</f>
        <v>1</v>
      </c>
    </row>
    <row r="217" spans="1:2" outlineLevel="2">
      <c r="A217">
        <v>111</v>
      </c>
      <c r="B217" t="s">
        <v>1443</v>
      </c>
    </row>
    <row r="218" spans="1:2" outlineLevel="1">
      <c r="A218" s="184" t="s">
        <v>1520</v>
      </c>
      <c r="B218">
        <f>SUBTOTAL(3,B217:B217)</f>
        <v>1</v>
      </c>
    </row>
    <row r="219" spans="1:2" outlineLevel="2">
      <c r="A219">
        <v>112</v>
      </c>
      <c r="B219" t="s">
        <v>126</v>
      </c>
    </row>
    <row r="220" spans="1:2" outlineLevel="1">
      <c r="A220" s="184" t="s">
        <v>1266</v>
      </c>
      <c r="B220">
        <f>SUBTOTAL(3,B219:B219)</f>
        <v>1</v>
      </c>
    </row>
    <row r="221" spans="1:2" outlineLevel="2">
      <c r="A221">
        <v>113</v>
      </c>
      <c r="B221" t="s">
        <v>1153</v>
      </c>
    </row>
    <row r="222" spans="1:2" outlineLevel="1">
      <c r="A222" s="184" t="s">
        <v>1292</v>
      </c>
      <c r="B222">
        <f>SUBTOTAL(3,B221:B221)</f>
        <v>1</v>
      </c>
    </row>
    <row r="223" spans="1:2" outlineLevel="2">
      <c r="A223">
        <v>114</v>
      </c>
      <c r="B223" t="s">
        <v>1444</v>
      </c>
    </row>
    <row r="224" spans="1:2" outlineLevel="1">
      <c r="A224" s="184" t="s">
        <v>1521</v>
      </c>
      <c r="B224">
        <f>SUBTOTAL(3,B223:B223)</f>
        <v>1</v>
      </c>
    </row>
    <row r="225" spans="1:2" outlineLevel="2">
      <c r="A225">
        <v>115</v>
      </c>
      <c r="B225" t="s">
        <v>1442</v>
      </c>
    </row>
    <row r="226" spans="1:2" outlineLevel="1">
      <c r="A226" s="184" t="s">
        <v>1518</v>
      </c>
      <c r="B226">
        <f>SUBTOTAL(3,B225:B225)</f>
        <v>1</v>
      </c>
    </row>
    <row r="227" spans="1:2" outlineLevel="2">
      <c r="A227">
        <v>116</v>
      </c>
      <c r="B227" t="s">
        <v>1404</v>
      </c>
    </row>
    <row r="228" spans="1:2" outlineLevel="1">
      <c r="A228" s="184" t="s">
        <v>1522</v>
      </c>
      <c r="B228">
        <f>SUBTOTAL(3,B227:B227)</f>
        <v>1</v>
      </c>
    </row>
    <row r="229" spans="1:2" outlineLevel="2">
      <c r="A229">
        <v>117</v>
      </c>
      <c r="B229" t="s">
        <v>1162</v>
      </c>
    </row>
    <row r="230" spans="1:2" outlineLevel="1">
      <c r="A230" s="184" t="s">
        <v>1295</v>
      </c>
      <c r="B230">
        <f>SUBTOTAL(3,B229:B229)</f>
        <v>1</v>
      </c>
    </row>
    <row r="231" spans="1:2" outlineLevel="2">
      <c r="A231">
        <v>118</v>
      </c>
      <c r="B231" t="s">
        <v>1454</v>
      </c>
    </row>
    <row r="232" spans="1:2" outlineLevel="1">
      <c r="A232" s="184" t="s">
        <v>1523</v>
      </c>
      <c r="B232">
        <f>SUBTOTAL(3,B231:B231)</f>
        <v>1</v>
      </c>
    </row>
    <row r="233" spans="1:2" outlineLevel="2">
      <c r="A233">
        <v>119</v>
      </c>
      <c r="B233" t="s">
        <v>109</v>
      </c>
    </row>
    <row r="234" spans="1:2" outlineLevel="2">
      <c r="A234">
        <v>120</v>
      </c>
      <c r="B234" t="s">
        <v>1403</v>
      </c>
    </row>
    <row r="235" spans="1:2" outlineLevel="1">
      <c r="A235" s="184" t="s">
        <v>1283</v>
      </c>
      <c r="B235">
        <f>SUBTOTAL(3,B233:B234)</f>
        <v>2</v>
      </c>
    </row>
    <row r="236" spans="1:2" outlineLevel="2">
      <c r="A236">
        <v>121</v>
      </c>
      <c r="B236" t="s">
        <v>1445</v>
      </c>
    </row>
    <row r="237" spans="1:2" outlineLevel="1">
      <c r="A237" s="184" t="s">
        <v>1524</v>
      </c>
      <c r="B237">
        <f>SUBTOTAL(3,B236:B236)</f>
        <v>1</v>
      </c>
    </row>
    <row r="238" spans="1:2" outlineLevel="2">
      <c r="A238">
        <v>122</v>
      </c>
      <c r="B238" t="s">
        <v>1446</v>
      </c>
    </row>
    <row r="239" spans="1:2" outlineLevel="1">
      <c r="A239" s="184" t="s">
        <v>1525</v>
      </c>
      <c r="B239">
        <f>SUBTOTAL(3,B238:B238)</f>
        <v>1</v>
      </c>
    </row>
    <row r="240" spans="1:2" outlineLevel="2">
      <c r="A240">
        <v>123</v>
      </c>
      <c r="B240" t="s">
        <v>1439</v>
      </c>
    </row>
    <row r="241" spans="1:2" outlineLevel="1">
      <c r="A241" s="184" t="s">
        <v>1502</v>
      </c>
      <c r="B241">
        <f>SUBTOTAL(3,B240:B240)</f>
        <v>1</v>
      </c>
    </row>
    <row r="242" spans="1:2" outlineLevel="2">
      <c r="A242">
        <v>124</v>
      </c>
      <c r="B242" t="s">
        <v>1392</v>
      </c>
    </row>
    <row r="243" spans="1:2" outlineLevel="1">
      <c r="A243" s="184" t="s">
        <v>1500</v>
      </c>
      <c r="B243">
        <f>SUBTOTAL(3,B242:B242)</f>
        <v>1</v>
      </c>
    </row>
    <row r="244" spans="1:2" outlineLevel="2">
      <c r="A244">
        <v>125</v>
      </c>
      <c r="B244" t="s">
        <v>1447</v>
      </c>
    </row>
    <row r="245" spans="1:2" outlineLevel="1">
      <c r="A245" s="184" t="s">
        <v>1526</v>
      </c>
      <c r="B245">
        <f>SUBTOTAL(3,B244:B244)</f>
        <v>1</v>
      </c>
    </row>
    <row r="246" spans="1:2" outlineLevel="2">
      <c r="A246">
        <v>126</v>
      </c>
      <c r="B246" t="s">
        <v>1448</v>
      </c>
    </row>
    <row r="247" spans="1:2" outlineLevel="1">
      <c r="A247" s="184" t="s">
        <v>1527</v>
      </c>
      <c r="B247">
        <f>SUBTOTAL(3,B246:B246)</f>
        <v>1</v>
      </c>
    </row>
    <row r="248" spans="1:2" outlineLevel="2">
      <c r="A248">
        <v>127</v>
      </c>
      <c r="B248" t="s">
        <v>1392</v>
      </c>
    </row>
    <row r="249" spans="1:2" outlineLevel="1">
      <c r="A249" s="184" t="s">
        <v>1500</v>
      </c>
      <c r="B249">
        <f>SUBTOTAL(3,B248:B248)</f>
        <v>1</v>
      </c>
    </row>
    <row r="250" spans="1:2" outlineLevel="2">
      <c r="A250">
        <v>128</v>
      </c>
      <c r="B250" t="s">
        <v>1391</v>
      </c>
    </row>
    <row r="251" spans="1:2" outlineLevel="1">
      <c r="A251" s="184" t="s">
        <v>1459</v>
      </c>
      <c r="B251">
        <f>SUBTOTAL(3,B250:B250)</f>
        <v>1</v>
      </c>
    </row>
    <row r="252" spans="1:2" outlineLevel="2">
      <c r="A252">
        <v>129</v>
      </c>
      <c r="B252" t="s">
        <v>1395</v>
      </c>
    </row>
    <row r="253" spans="1:2" outlineLevel="1">
      <c r="A253" s="184" t="s">
        <v>1528</v>
      </c>
      <c r="B253">
        <f>SUBTOTAL(3,B252:B252)</f>
        <v>1</v>
      </c>
    </row>
    <row r="254" spans="1:2" outlineLevel="2">
      <c r="A254">
        <v>130</v>
      </c>
      <c r="B254" t="s">
        <v>1389</v>
      </c>
    </row>
    <row r="255" spans="1:2" outlineLevel="1">
      <c r="A255" s="184" t="s">
        <v>1501</v>
      </c>
      <c r="B255">
        <f>SUBTOTAL(3,B254:B254)</f>
        <v>1</v>
      </c>
    </row>
    <row r="256" spans="1:2" outlineLevel="2">
      <c r="A256">
        <v>131</v>
      </c>
      <c r="B256" t="s">
        <v>1391</v>
      </c>
    </row>
    <row r="257" spans="1:2" outlineLevel="1">
      <c r="A257" s="184" t="s">
        <v>1459</v>
      </c>
      <c r="B257">
        <f>SUBTOTAL(3,B256:B256)</f>
        <v>1</v>
      </c>
    </row>
    <row r="258" spans="1:2" outlineLevel="2">
      <c r="A258">
        <v>132</v>
      </c>
      <c r="B258" t="s">
        <v>1449</v>
      </c>
    </row>
    <row r="259" spans="1:2" outlineLevel="2">
      <c r="A259">
        <v>133</v>
      </c>
      <c r="B259" t="s">
        <v>1449</v>
      </c>
    </row>
    <row r="260" spans="1:2" outlineLevel="1">
      <c r="A260" s="184" t="s">
        <v>1529</v>
      </c>
      <c r="B260">
        <f>SUBTOTAL(3,B258:B259)</f>
        <v>2</v>
      </c>
    </row>
    <row r="261" spans="1:2" outlineLevel="2">
      <c r="A261">
        <v>134</v>
      </c>
      <c r="B261" t="s">
        <v>1450</v>
      </c>
    </row>
    <row r="262" spans="1:2" outlineLevel="1">
      <c r="A262" s="184" t="s">
        <v>1530</v>
      </c>
      <c r="B262">
        <f>SUBTOTAL(3,B261:B261)</f>
        <v>1</v>
      </c>
    </row>
    <row r="263" spans="1:2" outlineLevel="2">
      <c r="A263">
        <v>135</v>
      </c>
      <c r="B263" t="s">
        <v>1439</v>
      </c>
    </row>
    <row r="264" spans="1:2" outlineLevel="1">
      <c r="A264" s="184" t="s">
        <v>1502</v>
      </c>
      <c r="B264">
        <f>SUBTOTAL(3,B263:B263)</f>
        <v>1</v>
      </c>
    </row>
    <row r="265" spans="1:2" outlineLevel="2">
      <c r="A265">
        <v>136</v>
      </c>
      <c r="B265" t="s">
        <v>1392</v>
      </c>
    </row>
    <row r="266" spans="1:2" outlineLevel="1">
      <c r="A266" s="184" t="s">
        <v>1500</v>
      </c>
      <c r="B266">
        <f>SUBTOTAL(3,B265:B265)</f>
        <v>1</v>
      </c>
    </row>
    <row r="267" spans="1:2" outlineLevel="2">
      <c r="A267">
        <v>137</v>
      </c>
      <c r="B267" t="s">
        <v>1391</v>
      </c>
    </row>
    <row r="268" spans="1:2" outlineLevel="1">
      <c r="A268" s="184" t="s">
        <v>1459</v>
      </c>
      <c r="B268">
        <f>SUBTOTAL(3,B267:B267)</f>
        <v>1</v>
      </c>
    </row>
    <row r="269" spans="1:2" outlineLevel="2">
      <c r="A269">
        <v>138</v>
      </c>
      <c r="B269" t="s">
        <v>1439</v>
      </c>
    </row>
    <row r="270" spans="1:2" outlineLevel="1">
      <c r="A270" s="184" t="s">
        <v>1502</v>
      </c>
      <c r="B270">
        <f>SUBTOTAL(3,B269:B269)</f>
        <v>1</v>
      </c>
    </row>
    <row r="271" spans="1:2" outlineLevel="2">
      <c r="A271">
        <v>139</v>
      </c>
      <c r="B271" t="s">
        <v>1389</v>
      </c>
    </row>
    <row r="272" spans="1:2" outlineLevel="1">
      <c r="A272" s="184" t="s">
        <v>1501</v>
      </c>
      <c r="B272">
        <f>SUBTOTAL(3,B271:B271)</f>
        <v>1</v>
      </c>
    </row>
    <row r="273" spans="1:2" outlineLevel="2">
      <c r="A273">
        <v>140</v>
      </c>
      <c r="B273" t="s">
        <v>1388</v>
      </c>
    </row>
    <row r="274" spans="1:2" outlineLevel="1">
      <c r="A274" s="184" t="s">
        <v>1473</v>
      </c>
      <c r="B274">
        <f>SUBTOTAL(3,B273:B273)</f>
        <v>1</v>
      </c>
    </row>
    <row r="275" spans="1:2" outlineLevel="2">
      <c r="A275">
        <v>141</v>
      </c>
      <c r="B275" t="s">
        <v>143</v>
      </c>
    </row>
    <row r="276" spans="1:2" outlineLevel="1">
      <c r="A276" s="184" t="s">
        <v>1311</v>
      </c>
      <c r="B276">
        <f>SUBTOTAL(3,B275:B275)</f>
        <v>1</v>
      </c>
    </row>
    <row r="277" spans="1:2" outlineLevel="2">
      <c r="A277">
        <v>142</v>
      </c>
      <c r="B277" t="s">
        <v>1451</v>
      </c>
    </row>
    <row r="278" spans="1:2" outlineLevel="1">
      <c r="A278" s="184" t="s">
        <v>1531</v>
      </c>
      <c r="B278">
        <f>SUBTOTAL(3,B277:B277)</f>
        <v>1</v>
      </c>
    </row>
    <row r="279" spans="1:2" outlineLevel="2">
      <c r="A279">
        <v>143</v>
      </c>
      <c r="B279" t="s">
        <v>1387</v>
      </c>
    </row>
    <row r="280" spans="1:2" outlineLevel="1">
      <c r="A280" s="184" t="s">
        <v>1532</v>
      </c>
      <c r="B280">
        <f>SUBTOTAL(3,B279:B279)</f>
        <v>1</v>
      </c>
    </row>
    <row r="281" spans="1:2" outlineLevel="2">
      <c r="A281">
        <v>144</v>
      </c>
      <c r="B281" t="s">
        <v>1217</v>
      </c>
    </row>
    <row r="282" spans="1:2" outlineLevel="1">
      <c r="A282" s="184" t="s">
        <v>1314</v>
      </c>
      <c r="B282">
        <f>SUBTOTAL(3,B281:B281)</f>
        <v>1</v>
      </c>
    </row>
    <row r="283" spans="1:2">
      <c r="A283" s="184" t="s">
        <v>848</v>
      </c>
      <c r="B283">
        <f>SUBTOTAL(3,B2:B281)</f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2:A281"/>
  <sheetViews>
    <sheetView topLeftCell="A238" workbookViewId="0">
      <selection activeCell="A2" sqref="A2:A281"/>
    </sheetView>
  </sheetViews>
  <sheetFormatPr defaultRowHeight="15"/>
  <cols>
    <col min="1" max="1" width="40.42578125" bestFit="1" customWidth="1"/>
  </cols>
  <sheetData>
    <row r="2" spans="1:1">
      <c r="A2" s="197" t="s">
        <v>1459</v>
      </c>
    </row>
    <row r="3" spans="1:1" hidden="1"/>
    <row r="4" spans="1:1">
      <c r="A4" s="184" t="s">
        <v>1460</v>
      </c>
    </row>
    <row r="5" spans="1:1" hidden="1"/>
    <row r="6" spans="1:1">
      <c r="A6" s="184" t="s">
        <v>1265</v>
      </c>
    </row>
    <row r="7" spans="1:1" hidden="1"/>
    <row r="8" spans="1:1">
      <c r="A8" s="184" t="s">
        <v>1461</v>
      </c>
    </row>
    <row r="9" spans="1:1" hidden="1"/>
    <row r="10" spans="1:1">
      <c r="A10" s="184" t="s">
        <v>1462</v>
      </c>
    </row>
    <row r="11" spans="1:1" hidden="1"/>
    <row r="12" spans="1:1">
      <c r="A12" s="184" t="s">
        <v>1463</v>
      </c>
    </row>
    <row r="13" spans="1:1" hidden="1"/>
    <row r="14" spans="1:1">
      <c r="A14" s="184" t="s">
        <v>1464</v>
      </c>
    </row>
    <row r="15" spans="1:1" hidden="1"/>
    <row r="16" spans="1:1">
      <c r="A16" s="184" t="s">
        <v>1465</v>
      </c>
    </row>
    <row r="17" spans="1:1" hidden="1"/>
    <row r="18" spans="1:1">
      <c r="A18" s="184" t="s">
        <v>1466</v>
      </c>
    </row>
    <row r="19" spans="1:1" hidden="1"/>
    <row r="20" spans="1:1">
      <c r="A20" s="184" t="s">
        <v>1467</v>
      </c>
    </row>
    <row r="21" spans="1:1" hidden="1"/>
    <row r="22" spans="1:1">
      <c r="A22" s="184" t="s">
        <v>1468</v>
      </c>
    </row>
    <row r="23" spans="1:1" hidden="1"/>
    <row r="24" spans="1:1">
      <c r="A24" s="184" t="s">
        <v>1469</v>
      </c>
    </row>
    <row r="25" spans="1:1" hidden="1"/>
    <row r="26" spans="1:1">
      <c r="A26" s="184" t="s">
        <v>1470</v>
      </c>
    </row>
    <row r="27" spans="1:1" hidden="1"/>
    <row r="28" spans="1:1">
      <c r="A28" s="184" t="s">
        <v>1471</v>
      </c>
    </row>
    <row r="29" spans="1:1" hidden="1"/>
    <row r="30" spans="1:1">
      <c r="A30" s="184" t="s">
        <v>1472</v>
      </c>
    </row>
    <row r="31" spans="1:1" hidden="1"/>
    <row r="32" spans="1:1">
      <c r="A32" s="184" t="s">
        <v>1473</v>
      </c>
    </row>
    <row r="33" spans="1:1" hidden="1"/>
    <row r="34" spans="1:1">
      <c r="A34" s="184" t="s">
        <v>1474</v>
      </c>
    </row>
    <row r="35" spans="1:1" hidden="1"/>
    <row r="36" spans="1:1">
      <c r="A36" s="184" t="s">
        <v>1475</v>
      </c>
    </row>
    <row r="37" spans="1:1" hidden="1"/>
    <row r="38" spans="1:1">
      <c r="A38" s="184" t="s">
        <v>1476</v>
      </c>
    </row>
    <row r="39" spans="1:1" hidden="1"/>
    <row r="40" spans="1:1">
      <c r="A40" s="184" t="s">
        <v>1477</v>
      </c>
    </row>
    <row r="41" spans="1:1" hidden="1"/>
    <row r="42" spans="1:1">
      <c r="A42" s="184" t="s">
        <v>1478</v>
      </c>
    </row>
    <row r="43" spans="1:1" hidden="1"/>
    <row r="44" spans="1:1">
      <c r="A44" s="184" t="s">
        <v>1479</v>
      </c>
    </row>
    <row r="45" spans="1:1" hidden="1"/>
    <row r="46" spans="1:1">
      <c r="A46" s="184" t="s">
        <v>1480</v>
      </c>
    </row>
    <row r="47" spans="1:1" hidden="1"/>
    <row r="48" spans="1:1">
      <c r="A48" s="184" t="s">
        <v>1481</v>
      </c>
    </row>
    <row r="49" spans="1:1" hidden="1"/>
    <row r="50" spans="1:1">
      <c r="A50" s="184" t="s">
        <v>1482</v>
      </c>
    </row>
    <row r="51" spans="1:1" hidden="1"/>
    <row r="52" spans="1:1">
      <c r="A52" s="184" t="s">
        <v>1483</v>
      </c>
    </row>
    <row r="53" spans="1:1" hidden="1"/>
    <row r="54" spans="1:1">
      <c r="A54" s="184" t="s">
        <v>1484</v>
      </c>
    </row>
    <row r="55" spans="1:1" hidden="1"/>
    <row r="56" spans="1:1">
      <c r="A56" s="184" t="s">
        <v>788</v>
      </c>
    </row>
    <row r="57" spans="1:1" hidden="1"/>
    <row r="58" spans="1:1">
      <c r="A58" s="184" t="s">
        <v>1485</v>
      </c>
    </row>
    <row r="59" spans="1:1" hidden="1"/>
    <row r="60" spans="1:1">
      <c r="A60" s="184" t="s">
        <v>1486</v>
      </c>
    </row>
    <row r="61" spans="1:1" hidden="1"/>
    <row r="62" spans="1:1">
      <c r="A62" s="184" t="s">
        <v>1283</v>
      </c>
    </row>
    <row r="63" spans="1:1" hidden="1"/>
    <row r="64" spans="1:1">
      <c r="A64" s="184" t="s">
        <v>1487</v>
      </c>
    </row>
    <row r="65" spans="1:1" hidden="1"/>
    <row r="66" spans="1:1">
      <c r="A66" s="184" t="s">
        <v>1488</v>
      </c>
    </row>
    <row r="67" spans="1:1" hidden="1"/>
    <row r="68" spans="1:1">
      <c r="A68" s="184" t="s">
        <v>1489</v>
      </c>
    </row>
    <row r="69" spans="1:1" hidden="1"/>
    <row r="70" spans="1:1">
      <c r="A70" s="184" t="s">
        <v>1490</v>
      </c>
    </row>
    <row r="71" spans="1:1" hidden="1"/>
    <row r="72" spans="1:1">
      <c r="A72" s="184" t="s">
        <v>1491</v>
      </c>
    </row>
    <row r="73" spans="1:1" hidden="1"/>
    <row r="74" spans="1:1">
      <c r="A74" s="184" t="s">
        <v>1492</v>
      </c>
    </row>
    <row r="75" spans="1:1" hidden="1"/>
    <row r="76" spans="1:1">
      <c r="A76" s="184" t="s">
        <v>811</v>
      </c>
    </row>
    <row r="77" spans="1:1" hidden="1"/>
    <row r="78" spans="1:1">
      <c r="A78" s="184" t="s">
        <v>1493</v>
      </c>
    </row>
    <row r="79" spans="1:1" hidden="1"/>
    <row r="80" spans="1:1">
      <c r="A80" s="184" t="s">
        <v>1494</v>
      </c>
    </row>
    <row r="81" spans="1:1" hidden="1"/>
    <row r="82" spans="1:1">
      <c r="A82" s="184" t="s">
        <v>1495</v>
      </c>
    </row>
    <row r="83" spans="1:1" hidden="1"/>
    <row r="84" spans="1:1">
      <c r="A84" s="184" t="s">
        <v>1496</v>
      </c>
    </row>
    <row r="85" spans="1:1" hidden="1"/>
    <row r="86" spans="1:1">
      <c r="A86" s="184" t="s">
        <v>1497</v>
      </c>
    </row>
    <row r="87" spans="1:1" hidden="1"/>
    <row r="88" spans="1:1">
      <c r="A88" s="184" t="s">
        <v>1498</v>
      </c>
    </row>
    <row r="89" spans="1:1" hidden="1"/>
    <row r="90" spans="1:1">
      <c r="A90" s="184" t="s">
        <v>1499</v>
      </c>
    </row>
    <row r="91" spans="1:1" hidden="1"/>
    <row r="92" spans="1:1">
      <c r="A92" s="184" t="s">
        <v>1311</v>
      </c>
    </row>
    <row r="93" spans="1:1" hidden="1"/>
    <row r="94" spans="1:1">
      <c r="A94" s="184" t="s">
        <v>1500</v>
      </c>
    </row>
    <row r="95" spans="1:1" hidden="1"/>
    <row r="96" spans="1:1">
      <c r="A96" s="184" t="s">
        <v>1501</v>
      </c>
    </row>
    <row r="97" spans="1:1" hidden="1"/>
    <row r="98" spans="1:1">
      <c r="A98" s="184" t="s">
        <v>1502</v>
      </c>
    </row>
    <row r="99" spans="1:1" hidden="1"/>
    <row r="100" spans="1:1">
      <c r="A100" s="184" t="s">
        <v>1503</v>
      </c>
    </row>
    <row r="101" spans="1:1" hidden="1"/>
    <row r="102" spans="1:1">
      <c r="A102" s="184" t="s">
        <v>1504</v>
      </c>
    </row>
    <row r="103" spans="1:1" hidden="1"/>
    <row r="104" spans="1:1">
      <c r="A104" s="184" t="s">
        <v>1266</v>
      </c>
    </row>
    <row r="105" spans="1:1" hidden="1"/>
    <row r="106" spans="1:1">
      <c r="A106" s="184" t="s">
        <v>1505</v>
      </c>
    </row>
    <row r="107" spans="1:1" hidden="1"/>
    <row r="108" spans="1:1">
      <c r="A108" s="184" t="s">
        <v>1506</v>
      </c>
    </row>
    <row r="109" spans="1:1" hidden="1"/>
    <row r="110" spans="1:1">
      <c r="A110" s="184" t="s">
        <v>1314</v>
      </c>
    </row>
    <row r="111" spans="1:1" hidden="1"/>
    <row r="112" spans="1:1">
      <c r="A112" s="184" t="s">
        <v>815</v>
      </c>
    </row>
    <row r="113" spans="1:1" hidden="1"/>
    <row r="114" spans="1:1">
      <c r="A114" s="184" t="s">
        <v>1249</v>
      </c>
    </row>
    <row r="115" spans="1:1" hidden="1"/>
    <row r="116" spans="1:1">
      <c r="A116" s="184" t="s">
        <v>1250</v>
      </c>
    </row>
    <row r="117" spans="1:1" hidden="1"/>
    <row r="118" spans="1:1">
      <c r="A118" s="184" t="s">
        <v>1251</v>
      </c>
    </row>
    <row r="119" spans="1:1" hidden="1"/>
    <row r="120" spans="1:1">
      <c r="A120" s="184" t="s">
        <v>1252</v>
      </c>
    </row>
    <row r="121" spans="1:1" hidden="1"/>
    <row r="122" spans="1:1">
      <c r="A122" s="184" t="s">
        <v>1507</v>
      </c>
    </row>
    <row r="123" spans="1:1" hidden="1"/>
    <row r="124" spans="1:1">
      <c r="A124" s="184" t="s">
        <v>1254</v>
      </c>
    </row>
    <row r="125" spans="1:1" hidden="1"/>
    <row r="126" spans="1:1">
      <c r="A126" s="184" t="s">
        <v>1508</v>
      </c>
    </row>
    <row r="127" spans="1:1" hidden="1"/>
    <row r="128" spans="1:1">
      <c r="A128" s="184" t="s">
        <v>1509</v>
      </c>
    </row>
    <row r="129" spans="1:1" hidden="1"/>
    <row r="130" spans="1:1" hidden="1"/>
    <row r="131" spans="1:1">
      <c r="A131" s="184" t="s">
        <v>1510</v>
      </c>
    </row>
    <row r="132" spans="1:1" hidden="1"/>
    <row r="133" spans="1:1" hidden="1"/>
    <row r="134" spans="1:1">
      <c r="A134" s="184" t="s">
        <v>1511</v>
      </c>
    </row>
    <row r="135" spans="1:1" hidden="1"/>
    <row r="136" spans="1:1">
      <c r="A136" s="184" t="s">
        <v>1261</v>
      </c>
    </row>
    <row r="137" spans="1:1" hidden="1"/>
    <row r="138" spans="1:1">
      <c r="A138" s="184" t="s">
        <v>1512</v>
      </c>
    </row>
    <row r="139" spans="1:1" hidden="1"/>
    <row r="140" spans="1:1">
      <c r="A140" s="184" t="s">
        <v>1261</v>
      </c>
    </row>
    <row r="141" spans="1:1" hidden="1"/>
    <row r="142" spans="1:1">
      <c r="A142" s="184" t="s">
        <v>1263</v>
      </c>
    </row>
    <row r="143" spans="1:1" hidden="1"/>
    <row r="144" spans="1:1">
      <c r="A144" s="184" t="s">
        <v>1512</v>
      </c>
    </row>
    <row r="145" spans="1:1" hidden="1"/>
    <row r="146" spans="1:1">
      <c r="A146" s="184" t="s">
        <v>1513</v>
      </c>
    </row>
    <row r="147" spans="1:1" hidden="1"/>
    <row r="148" spans="1:1">
      <c r="A148" s="184" t="s">
        <v>1265</v>
      </c>
    </row>
    <row r="149" spans="1:1" hidden="1"/>
    <row r="150" spans="1:1">
      <c r="A150" s="184" t="s">
        <v>1266</v>
      </c>
    </row>
    <row r="151" spans="1:1" hidden="1"/>
    <row r="152" spans="1:1">
      <c r="A152" s="184" t="s">
        <v>1267</v>
      </c>
    </row>
    <row r="153" spans="1:1" hidden="1"/>
    <row r="154" spans="1:1">
      <c r="A154" s="184" t="s">
        <v>1268</v>
      </c>
    </row>
    <row r="155" spans="1:1" hidden="1"/>
    <row r="156" spans="1:1">
      <c r="A156" s="184" t="s">
        <v>1269</v>
      </c>
    </row>
    <row r="157" spans="1:1" hidden="1"/>
    <row r="158" spans="1:1">
      <c r="A158" s="184" t="s">
        <v>1270</v>
      </c>
    </row>
    <row r="159" spans="1:1" hidden="1"/>
    <row r="160" spans="1:1">
      <c r="A160" s="184" t="s">
        <v>1267</v>
      </c>
    </row>
    <row r="161" spans="1:1" hidden="1"/>
    <row r="162" spans="1:1">
      <c r="A162" s="184" t="s">
        <v>785</v>
      </c>
    </row>
    <row r="163" spans="1:1" hidden="1"/>
    <row r="164" spans="1:1">
      <c r="A164" s="184" t="s">
        <v>786</v>
      </c>
    </row>
    <row r="165" spans="1:1" hidden="1"/>
    <row r="166" spans="1:1">
      <c r="A166" s="184" t="s">
        <v>1271</v>
      </c>
    </row>
    <row r="167" spans="1:1" hidden="1"/>
    <row r="168" spans="1:1">
      <c r="A168" s="184" t="s">
        <v>787</v>
      </c>
    </row>
    <row r="169" spans="1:1" hidden="1"/>
    <row r="170" spans="1:1">
      <c r="A170" s="184" t="s">
        <v>788</v>
      </c>
    </row>
    <row r="171" spans="1:1" hidden="1"/>
    <row r="172" spans="1:1">
      <c r="A172" s="184" t="s">
        <v>1272</v>
      </c>
    </row>
    <row r="173" spans="1:1" hidden="1"/>
    <row r="174" spans="1:1">
      <c r="A174" s="184" t="s">
        <v>1273</v>
      </c>
    </row>
    <row r="175" spans="1:1" hidden="1"/>
    <row r="176" spans="1:1" hidden="1"/>
    <row r="177" spans="1:1">
      <c r="A177" s="184" t="s">
        <v>1275</v>
      </c>
    </row>
    <row r="178" spans="1:1" hidden="1"/>
    <row r="179" spans="1:1" hidden="1"/>
    <row r="180" spans="1:1">
      <c r="A180" s="184" t="s">
        <v>1283</v>
      </c>
    </row>
    <row r="181" spans="1:1" hidden="1"/>
    <row r="182" spans="1:1" hidden="1"/>
    <row r="183" spans="1:1">
      <c r="A183" s="184" t="s">
        <v>1514</v>
      </c>
    </row>
    <row r="184" spans="1:1" hidden="1"/>
    <row r="185" spans="1:1">
      <c r="A185" s="184" t="s">
        <v>1509</v>
      </c>
    </row>
    <row r="186" spans="1:1" hidden="1"/>
    <row r="187" spans="1:1">
      <c r="A187" s="184" t="s">
        <v>1473</v>
      </c>
    </row>
    <row r="188" spans="1:1" hidden="1"/>
    <row r="189" spans="1:1">
      <c r="A189" s="184" t="s">
        <v>1515</v>
      </c>
    </row>
    <row r="190" spans="1:1" hidden="1"/>
    <row r="191" spans="1:1">
      <c r="A191" s="184" t="s">
        <v>1487</v>
      </c>
    </row>
    <row r="192" spans="1:1" hidden="1"/>
    <row r="193" spans="1:1">
      <c r="A193" s="184" t="s">
        <v>1283</v>
      </c>
    </row>
    <row r="194" spans="1:1" hidden="1"/>
    <row r="195" spans="1:1">
      <c r="A195" s="184" t="s">
        <v>1473</v>
      </c>
    </row>
    <row r="196" spans="1:1" hidden="1"/>
    <row r="197" spans="1:1">
      <c r="A197" s="184" t="s">
        <v>1516</v>
      </c>
    </row>
    <row r="198" spans="1:1" hidden="1"/>
    <row r="199" spans="1:1">
      <c r="A199" s="184" t="s">
        <v>1517</v>
      </c>
    </row>
    <row r="200" spans="1:1" hidden="1"/>
    <row r="201" spans="1:1">
      <c r="A201" s="184" t="s">
        <v>1518</v>
      </c>
    </row>
    <row r="202" spans="1:1" hidden="1"/>
    <row r="203" spans="1:1">
      <c r="A203" s="184" t="s">
        <v>1519</v>
      </c>
    </row>
    <row r="204" spans="1:1" hidden="1"/>
    <row r="205" spans="1:1">
      <c r="A205" s="184" t="s">
        <v>1484</v>
      </c>
    </row>
    <row r="206" spans="1:1" hidden="1"/>
    <row r="207" spans="1:1">
      <c r="A207" s="184" t="s">
        <v>1516</v>
      </c>
    </row>
    <row r="208" spans="1:1" hidden="1"/>
    <row r="209" spans="1:1">
      <c r="A209" s="184" t="s">
        <v>1518</v>
      </c>
    </row>
    <row r="210" spans="1:1" hidden="1"/>
    <row r="211" spans="1:1">
      <c r="A211" s="184" t="s">
        <v>786</v>
      </c>
    </row>
    <row r="212" spans="1:1" hidden="1"/>
    <row r="213" spans="1:1">
      <c r="A213" s="184" t="s">
        <v>1265</v>
      </c>
    </row>
    <row r="214" spans="1:1" hidden="1"/>
    <row r="215" spans="1:1">
      <c r="A215" s="184" t="s">
        <v>1290</v>
      </c>
    </row>
    <row r="216" spans="1:1" hidden="1"/>
    <row r="217" spans="1:1">
      <c r="A217" s="184" t="s">
        <v>1520</v>
      </c>
    </row>
    <row r="218" spans="1:1" hidden="1"/>
    <row r="219" spans="1:1">
      <c r="A219" s="184" t="s">
        <v>1266</v>
      </c>
    </row>
    <row r="220" spans="1:1" hidden="1"/>
    <row r="221" spans="1:1">
      <c r="A221" s="184" t="s">
        <v>1292</v>
      </c>
    </row>
    <row r="222" spans="1:1" hidden="1"/>
    <row r="223" spans="1:1">
      <c r="A223" s="184" t="s">
        <v>1521</v>
      </c>
    </row>
    <row r="224" spans="1:1" hidden="1"/>
    <row r="225" spans="1:1">
      <c r="A225" s="184" t="s">
        <v>1518</v>
      </c>
    </row>
    <row r="226" spans="1:1" hidden="1"/>
    <row r="227" spans="1:1">
      <c r="A227" s="184" t="s">
        <v>1522</v>
      </c>
    </row>
    <row r="228" spans="1:1" hidden="1"/>
    <row r="229" spans="1:1">
      <c r="A229" s="184" t="s">
        <v>1295</v>
      </c>
    </row>
    <row r="230" spans="1:1" hidden="1"/>
    <row r="231" spans="1:1">
      <c r="A231" s="184" t="s">
        <v>1523</v>
      </c>
    </row>
    <row r="232" spans="1:1" hidden="1"/>
    <row r="233" spans="1:1" hidden="1"/>
    <row r="234" spans="1:1">
      <c r="A234" s="184" t="s">
        <v>1283</v>
      </c>
    </row>
    <row r="235" spans="1:1" hidden="1"/>
    <row r="236" spans="1:1">
      <c r="A236" s="184" t="s">
        <v>1524</v>
      </c>
    </row>
    <row r="237" spans="1:1" hidden="1"/>
    <row r="238" spans="1:1">
      <c r="A238" s="184" t="s">
        <v>1525</v>
      </c>
    </row>
    <row r="239" spans="1:1" hidden="1"/>
    <row r="240" spans="1:1">
      <c r="A240" s="184" t="s">
        <v>1502</v>
      </c>
    </row>
    <row r="241" spans="1:1" hidden="1"/>
    <row r="242" spans="1:1">
      <c r="A242" s="184" t="s">
        <v>1500</v>
      </c>
    </row>
    <row r="243" spans="1:1" hidden="1"/>
    <row r="244" spans="1:1">
      <c r="A244" s="184" t="s">
        <v>1526</v>
      </c>
    </row>
    <row r="245" spans="1:1" hidden="1"/>
    <row r="246" spans="1:1">
      <c r="A246" s="184" t="s">
        <v>1527</v>
      </c>
    </row>
    <row r="247" spans="1:1" hidden="1"/>
    <row r="248" spans="1:1">
      <c r="A248" s="184" t="s">
        <v>1500</v>
      </c>
    </row>
    <row r="249" spans="1:1" hidden="1"/>
    <row r="250" spans="1:1">
      <c r="A250" s="184" t="s">
        <v>1459</v>
      </c>
    </row>
    <row r="251" spans="1:1" hidden="1"/>
    <row r="252" spans="1:1">
      <c r="A252" s="184" t="s">
        <v>1528</v>
      </c>
    </row>
    <row r="253" spans="1:1" hidden="1"/>
    <row r="254" spans="1:1">
      <c r="A254" s="184" t="s">
        <v>1501</v>
      </c>
    </row>
    <row r="255" spans="1:1" hidden="1"/>
    <row r="256" spans="1:1">
      <c r="A256" s="184" t="s">
        <v>1459</v>
      </c>
    </row>
    <row r="257" spans="1:1" hidden="1"/>
    <row r="258" spans="1:1" hidden="1"/>
    <row r="259" spans="1:1">
      <c r="A259" s="184" t="s">
        <v>1529</v>
      </c>
    </row>
    <row r="260" spans="1:1" hidden="1"/>
    <row r="261" spans="1:1">
      <c r="A261" s="184" t="s">
        <v>1530</v>
      </c>
    </row>
    <row r="262" spans="1:1" hidden="1"/>
    <row r="263" spans="1:1">
      <c r="A263" s="184" t="s">
        <v>1502</v>
      </c>
    </row>
    <row r="264" spans="1:1" hidden="1"/>
    <row r="265" spans="1:1">
      <c r="A265" s="184" t="s">
        <v>1500</v>
      </c>
    </row>
    <row r="266" spans="1:1" hidden="1"/>
    <row r="267" spans="1:1">
      <c r="A267" s="184" t="s">
        <v>1459</v>
      </c>
    </row>
    <row r="268" spans="1:1" hidden="1"/>
    <row r="269" spans="1:1">
      <c r="A269" s="184" t="s">
        <v>1502</v>
      </c>
    </row>
    <row r="270" spans="1:1" hidden="1"/>
    <row r="271" spans="1:1">
      <c r="A271" s="184" t="s">
        <v>1501</v>
      </c>
    </row>
    <row r="272" spans="1:1" hidden="1"/>
    <row r="273" spans="1:1">
      <c r="A273" s="184" t="s">
        <v>1473</v>
      </c>
    </row>
    <row r="274" spans="1:1" hidden="1"/>
    <row r="275" spans="1:1">
      <c r="A275" s="184" t="s">
        <v>1311</v>
      </c>
    </row>
    <row r="276" spans="1:1" hidden="1"/>
    <row r="277" spans="1:1">
      <c r="A277" s="184" t="s">
        <v>1531</v>
      </c>
    </row>
    <row r="278" spans="1:1" hidden="1"/>
    <row r="279" spans="1:1">
      <c r="A279" s="184" t="s">
        <v>1532</v>
      </c>
    </row>
    <row r="280" spans="1:1" hidden="1"/>
    <row r="281" spans="1:1">
      <c r="A281" s="184" t="s">
        <v>1314</v>
      </c>
    </row>
  </sheetData>
  <autoFilter ref="A1:A28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E138"/>
  <sheetViews>
    <sheetView topLeftCell="A93" workbookViewId="0">
      <selection activeCell="E2" sqref="E2:E138"/>
    </sheetView>
  </sheetViews>
  <sheetFormatPr defaultRowHeight="15"/>
  <cols>
    <col min="2" max="2" width="40.140625" bestFit="1" customWidth="1"/>
    <col min="3" max="3" width="34.28515625" bestFit="1" customWidth="1"/>
    <col min="4" max="5" width="35.28515625" bestFit="1" customWidth="1"/>
  </cols>
  <sheetData>
    <row r="2" spans="2:5">
      <c r="B2" t="s">
        <v>151</v>
      </c>
      <c r="C2" t="str">
        <f>TRIM(B2)</f>
        <v>ADURY FASHION &amp; PRINT LTD</v>
      </c>
      <c r="D2" t="str">
        <f>UPPER(C2)</f>
        <v>ADURY FASHION &amp; PRINT LTD</v>
      </c>
      <c r="E2" t="s">
        <v>1391</v>
      </c>
    </row>
    <row r="3" spans="2:5">
      <c r="B3" t="s">
        <v>1533</v>
      </c>
      <c r="C3" t="str">
        <f t="shared" ref="C3:C66" si="0">TRIM(B3)</f>
        <v>Advance Com Tex Ltd</v>
      </c>
      <c r="D3" t="str">
        <f t="shared" ref="D3:D66" si="1">UPPER(C3)</f>
        <v>ADVANCE COM TEX LTD</v>
      </c>
      <c r="E3" t="s">
        <v>1583</v>
      </c>
    </row>
    <row r="4" spans="2:5">
      <c r="B4" t="s">
        <v>1331</v>
      </c>
      <c r="C4" t="str">
        <f t="shared" si="0"/>
        <v>AINUN TRADE HOUSE LTD</v>
      </c>
      <c r="D4" t="str">
        <f t="shared" si="1"/>
        <v>AINUN TRADE HOUSE LTD</v>
      </c>
      <c r="E4" t="s">
        <v>132</v>
      </c>
    </row>
    <row r="5" spans="2:5">
      <c r="B5" t="s">
        <v>1534</v>
      </c>
      <c r="C5" t="str">
        <f t="shared" si="0"/>
        <v>ANTIM KNITING &amp; DYING</v>
      </c>
      <c r="D5" t="str">
        <f t="shared" si="1"/>
        <v>ANTIM KNITING &amp; DYING</v>
      </c>
      <c r="E5" t="s">
        <v>1417</v>
      </c>
    </row>
    <row r="6" spans="2:5">
      <c r="B6" t="s">
        <v>1535</v>
      </c>
      <c r="C6" t="str">
        <f t="shared" si="0"/>
        <v>Aristocrate Non Woven Ltd</v>
      </c>
      <c r="D6" t="str">
        <f t="shared" si="1"/>
        <v>ARISTOCRATE NON WOVEN LTD</v>
      </c>
      <c r="E6" t="s">
        <v>1584</v>
      </c>
    </row>
    <row r="7" spans="2:5">
      <c r="B7" t="s">
        <v>1536</v>
      </c>
      <c r="C7" t="str">
        <f t="shared" si="0"/>
        <v>Aristocrate Agro Ltd</v>
      </c>
      <c r="D7" t="str">
        <f t="shared" si="1"/>
        <v>ARISTOCRATE AGRO LTD</v>
      </c>
      <c r="E7" t="s">
        <v>1585</v>
      </c>
    </row>
    <row r="8" spans="2:5">
      <c r="B8" t="s">
        <v>90</v>
      </c>
      <c r="C8" t="str">
        <f t="shared" si="0"/>
        <v>Asiatic Textile Mills Ltd</v>
      </c>
      <c r="D8" t="str">
        <f t="shared" si="1"/>
        <v>ASIATIC TEXTILE MILLS LTD</v>
      </c>
      <c r="E8" t="s">
        <v>1586</v>
      </c>
    </row>
    <row r="9" spans="2:5">
      <c r="B9" t="s">
        <v>1537</v>
      </c>
      <c r="C9" t="str">
        <f t="shared" si="0"/>
        <v>BASHUDHARA MULTI FOOD</v>
      </c>
      <c r="D9" t="str">
        <f t="shared" si="1"/>
        <v>BASHUDHARA MULTI FOOD</v>
      </c>
      <c r="E9" t="s">
        <v>1421</v>
      </c>
    </row>
    <row r="10" spans="2:5">
      <c r="B10" t="s">
        <v>1538</v>
      </c>
      <c r="C10" t="str">
        <f t="shared" si="0"/>
        <v>BASHUDHARA MULTI STEEL</v>
      </c>
      <c r="D10" t="str">
        <f t="shared" si="1"/>
        <v>BASHUDHARA MULTI STEEL</v>
      </c>
      <c r="E10" t="s">
        <v>1422</v>
      </c>
    </row>
    <row r="11" spans="2:5">
      <c r="B11" t="s">
        <v>1582</v>
      </c>
      <c r="C11" t="str">
        <f t="shared" si="0"/>
        <v>BD SUGAR AND FOOD</v>
      </c>
      <c r="D11" t="str">
        <f>UPPER(C11)</f>
        <v>BD SUGAR AND FOOD</v>
      </c>
      <c r="E11" t="s">
        <v>1582</v>
      </c>
    </row>
    <row r="12" spans="2:5">
      <c r="B12" t="s">
        <v>1539</v>
      </c>
      <c r="C12" t="str">
        <f t="shared" si="0"/>
        <v>BOSUNDORA FOOD AND BEVERAGE</v>
      </c>
      <c r="D12" t="str">
        <f t="shared" si="1"/>
        <v>BOSUNDORA FOOD AND BEVERAGE</v>
      </c>
      <c r="E12" t="s">
        <v>1423</v>
      </c>
    </row>
    <row r="13" spans="2:5">
      <c r="B13" t="s">
        <v>1540</v>
      </c>
      <c r="C13" t="str">
        <f t="shared" si="0"/>
        <v>DHAKA MATCH FACTORY LTD</v>
      </c>
      <c r="D13" t="str">
        <f t="shared" si="1"/>
        <v>DHAKA MATCH FACTORY LTD</v>
      </c>
      <c r="E13" t="s">
        <v>23</v>
      </c>
    </row>
    <row r="14" spans="2:5">
      <c r="B14" t="s">
        <v>139</v>
      </c>
      <c r="C14" t="str">
        <f t="shared" si="0"/>
        <v>Dressden Textiles Ltd</v>
      </c>
      <c r="D14" t="str">
        <f t="shared" si="1"/>
        <v>DRESSDEN TEXTILES LTD</v>
      </c>
      <c r="E14" t="s">
        <v>1587</v>
      </c>
    </row>
    <row r="15" spans="2:5">
      <c r="B15" t="s">
        <v>1541</v>
      </c>
      <c r="C15" t="str">
        <f t="shared" si="0"/>
        <v>DUTCH BANGLA POWER</v>
      </c>
      <c r="D15" t="str">
        <f t="shared" si="1"/>
        <v>DUTCH BANGLA POWER</v>
      </c>
      <c r="E15" t="s">
        <v>75</v>
      </c>
    </row>
    <row r="16" spans="2:5">
      <c r="B16" t="s">
        <v>1542</v>
      </c>
      <c r="C16" t="str">
        <f t="shared" si="0"/>
        <v>F N FAN INDUSTRIES LTD</v>
      </c>
      <c r="D16" t="str">
        <f t="shared" si="1"/>
        <v>F N FAN INDUSTRIES LTD</v>
      </c>
      <c r="E16" t="s">
        <v>1425</v>
      </c>
    </row>
    <row r="17" spans="2:5">
      <c r="B17" t="s">
        <v>112</v>
      </c>
      <c r="C17" t="str">
        <f t="shared" si="0"/>
        <v>Global Pac Ind Pvt Ltd</v>
      </c>
      <c r="D17" t="str">
        <f t="shared" si="1"/>
        <v>GLOBAL PAC IND PVT LTD</v>
      </c>
      <c r="E17" t="s">
        <v>1588</v>
      </c>
    </row>
    <row r="18" spans="2:5">
      <c r="B18" t="s">
        <v>1543</v>
      </c>
      <c r="C18" t="str">
        <f t="shared" si="0"/>
        <v>GPH ISPAT LTD</v>
      </c>
      <c r="D18" t="str">
        <f t="shared" si="1"/>
        <v>GPH ISPAT LTD</v>
      </c>
      <c r="E18" t="s">
        <v>1381</v>
      </c>
    </row>
    <row r="19" spans="2:5">
      <c r="B19" t="s">
        <v>94</v>
      </c>
      <c r="C19" t="str">
        <f t="shared" si="0"/>
        <v>H H Textile Mills Ltd</v>
      </c>
      <c r="D19" t="str">
        <f t="shared" si="1"/>
        <v>H H TEXTILE MILLS LTD</v>
      </c>
      <c r="E19" t="s">
        <v>1589</v>
      </c>
    </row>
    <row r="20" spans="2:5">
      <c r="B20" t="s">
        <v>1544</v>
      </c>
      <c r="C20" t="str">
        <f t="shared" si="0"/>
        <v>JALANI SHILPA LTD.</v>
      </c>
      <c r="D20" t="str">
        <f t="shared" si="1"/>
        <v>JALANI SHILPA LTD.</v>
      </c>
      <c r="E20" t="s">
        <v>1</v>
      </c>
    </row>
    <row r="21" spans="2:5">
      <c r="B21" t="s">
        <v>1545</v>
      </c>
      <c r="C21" t="str">
        <f t="shared" si="0"/>
        <v>KAWACHI DETERGENT &amp; CHEMI</v>
      </c>
      <c r="D21" t="str">
        <f t="shared" si="1"/>
        <v>KAWACHI DETERGENT &amp; CHEMI</v>
      </c>
      <c r="E21" t="s">
        <v>15</v>
      </c>
    </row>
    <row r="22" spans="2:5">
      <c r="B22" t="s">
        <v>1546</v>
      </c>
      <c r="C22" t="str">
        <f t="shared" si="0"/>
        <v>KAYACHI DETERGENT &amp; CH.IND.</v>
      </c>
      <c r="D22" t="str">
        <f t="shared" si="1"/>
        <v>KAYACHI DETERGENT &amp; CH.IND.</v>
      </c>
      <c r="E22" t="s">
        <v>11</v>
      </c>
    </row>
    <row r="23" spans="2:5">
      <c r="B23" t="s">
        <v>107</v>
      </c>
      <c r="C23" t="str">
        <f t="shared" si="0"/>
        <v>LEEU FASHION LTD</v>
      </c>
      <c r="D23" t="str">
        <f t="shared" si="1"/>
        <v>LEEU FASHION LTD</v>
      </c>
      <c r="E23" t="s">
        <v>1427</v>
      </c>
    </row>
    <row r="24" spans="2:5">
      <c r="B24" t="s">
        <v>1547</v>
      </c>
      <c r="C24" t="str">
        <f t="shared" si="0"/>
        <v>ML THREAD LTD</v>
      </c>
      <c r="D24" t="str">
        <f t="shared" si="1"/>
        <v>ML THREAD LTD</v>
      </c>
      <c r="E24" t="s">
        <v>1428</v>
      </c>
    </row>
    <row r="25" spans="2:5">
      <c r="B25" t="s">
        <v>1548</v>
      </c>
      <c r="C25" t="str">
        <f t="shared" si="0"/>
        <v>MAGPIE COMPOSITE LTD</v>
      </c>
      <c r="D25" t="str">
        <f t="shared" si="1"/>
        <v>MAGPIE COMPOSITE LTD</v>
      </c>
      <c r="E25" t="s">
        <v>159</v>
      </c>
    </row>
    <row r="26" spans="2:5">
      <c r="B26" t="s">
        <v>162</v>
      </c>
      <c r="C26" t="str">
        <f t="shared" si="0"/>
        <v>MAKS NAHAR LTD</v>
      </c>
      <c r="D26" t="str">
        <f t="shared" si="1"/>
        <v>MAKS NAHAR LTD</v>
      </c>
      <c r="E26" t="s">
        <v>1429</v>
      </c>
    </row>
    <row r="27" spans="2:5">
      <c r="B27" t="s">
        <v>128</v>
      </c>
      <c r="C27" t="str">
        <f t="shared" si="0"/>
        <v>MuTUAL CONCERN CORPORATION</v>
      </c>
      <c r="D27" t="str">
        <f t="shared" si="1"/>
        <v>MUTUAL CONCERN CORPORATION</v>
      </c>
      <c r="E27" t="s">
        <v>1398</v>
      </c>
    </row>
    <row r="28" spans="2:5">
      <c r="B28" t="s">
        <v>130</v>
      </c>
      <c r="C28" t="str">
        <f t="shared" si="0"/>
        <v>NAFIZ PAPER</v>
      </c>
      <c r="D28" t="str">
        <f t="shared" si="1"/>
        <v>NAFIZ PAPER</v>
      </c>
      <c r="E28" t="s">
        <v>1407</v>
      </c>
    </row>
    <row r="29" spans="2:5">
      <c r="B29" t="s">
        <v>897</v>
      </c>
      <c r="C29" t="str">
        <f t="shared" si="0"/>
        <v>PACIFIC A1 SWEATER</v>
      </c>
      <c r="D29" t="str">
        <f t="shared" si="1"/>
        <v>PACIFIC A1 SWEATER</v>
      </c>
      <c r="E29" t="s">
        <v>71</v>
      </c>
    </row>
    <row r="30" spans="2:5">
      <c r="B30" t="s">
        <v>1549</v>
      </c>
      <c r="C30" t="str">
        <f t="shared" si="0"/>
        <v>Pacific Shoes &amp; Bags Ind Ltd</v>
      </c>
      <c r="D30" t="str">
        <f t="shared" si="1"/>
        <v>PACIFIC SHOES &amp; BAGS IND LTD</v>
      </c>
      <c r="E30" t="s">
        <v>1590</v>
      </c>
    </row>
    <row r="31" spans="2:5">
      <c r="B31" t="s">
        <v>1550</v>
      </c>
      <c r="C31" t="str">
        <f t="shared" si="0"/>
        <v>Parents Sweater Ltd</v>
      </c>
      <c r="D31" t="str">
        <f t="shared" si="1"/>
        <v>PARENTS SWEATER LTD</v>
      </c>
      <c r="E31" t="s">
        <v>527</v>
      </c>
    </row>
    <row r="32" spans="2:5">
      <c r="B32" t="s">
        <v>1098</v>
      </c>
      <c r="C32" t="str">
        <f t="shared" si="0"/>
        <v>Prime Composite Mills Ltd</v>
      </c>
      <c r="D32" t="str">
        <f t="shared" si="1"/>
        <v>PRIME COMPOSITE MILLS LTD</v>
      </c>
      <c r="E32" t="s">
        <v>1403</v>
      </c>
    </row>
    <row r="33" spans="2:5">
      <c r="B33" t="s">
        <v>106</v>
      </c>
      <c r="C33" t="str">
        <f t="shared" si="0"/>
        <v>Prime Melenge Yarn ltd</v>
      </c>
      <c r="D33" t="str">
        <f t="shared" si="1"/>
        <v>PRIME MELENGE YARN LTD</v>
      </c>
      <c r="E33" t="s">
        <v>1591</v>
      </c>
    </row>
    <row r="34" spans="2:5">
      <c r="B34" t="s">
        <v>104</v>
      </c>
      <c r="C34" t="str">
        <f t="shared" si="0"/>
        <v>R R Spinning &amp; Cotton Mills</v>
      </c>
      <c r="D34" t="str">
        <f t="shared" si="1"/>
        <v>R R SPINNING &amp; COTTON MILLS</v>
      </c>
      <c r="E34" t="s">
        <v>1592</v>
      </c>
    </row>
    <row r="35" spans="2:5">
      <c r="B35" t="s">
        <v>1551</v>
      </c>
      <c r="C35" t="str">
        <f t="shared" si="0"/>
        <v>R R SPINNING MILL</v>
      </c>
      <c r="D35" t="str">
        <f t="shared" si="1"/>
        <v>R R SPINNING MILL</v>
      </c>
      <c r="E35" t="s">
        <v>1434</v>
      </c>
    </row>
    <row r="36" spans="2:5">
      <c r="B36" t="s">
        <v>1552</v>
      </c>
      <c r="C36" t="str">
        <f t="shared" si="0"/>
        <v>RM SYSTEM</v>
      </c>
      <c r="D36" t="str">
        <f t="shared" si="1"/>
        <v>RM SYSTEM</v>
      </c>
      <c r="E36" t="s">
        <v>34</v>
      </c>
    </row>
    <row r="37" spans="2:5">
      <c r="B37" t="s">
        <v>1553</v>
      </c>
      <c r="C37" t="str">
        <f t="shared" si="0"/>
        <v>ROCO ENTERPRISE</v>
      </c>
      <c r="D37" t="str">
        <f t="shared" si="1"/>
        <v>ROCO ENTERPRISE</v>
      </c>
      <c r="E37" t="s">
        <v>18</v>
      </c>
    </row>
    <row r="38" spans="2:5">
      <c r="B38" t="s">
        <v>82</v>
      </c>
      <c r="C38" t="str">
        <f t="shared" si="0"/>
        <v>Rupshi Feed</v>
      </c>
      <c r="D38" t="str">
        <f t="shared" si="1"/>
        <v>RUPSHI FEED</v>
      </c>
      <c r="E38" t="s">
        <v>1593</v>
      </c>
    </row>
    <row r="39" spans="2:5">
      <c r="B39" t="s">
        <v>920</v>
      </c>
      <c r="C39" t="str">
        <f t="shared" si="0"/>
        <v>Samitex Industries Ltd</v>
      </c>
      <c r="D39" t="str">
        <f t="shared" si="1"/>
        <v>SAMITEX INDUSTRIES LTD</v>
      </c>
      <c r="E39" t="s">
        <v>1594</v>
      </c>
    </row>
    <row r="40" spans="2:5">
      <c r="B40" t="s">
        <v>86</v>
      </c>
      <c r="C40" t="str">
        <f t="shared" si="0"/>
        <v>SHAHABA YARN LTD</v>
      </c>
      <c r="D40" t="str">
        <f t="shared" si="1"/>
        <v>SHAHABA YARN LTD</v>
      </c>
      <c r="E40" t="s">
        <v>1436</v>
      </c>
    </row>
    <row r="41" spans="2:5">
      <c r="B41" t="s">
        <v>1554</v>
      </c>
      <c r="C41" t="str">
        <f t="shared" si="0"/>
        <v>Sister Denim Composite Mills Ltd</v>
      </c>
      <c r="D41" t="str">
        <f t="shared" si="1"/>
        <v>SISTER DENIM COMPOSITE MILLS LTD</v>
      </c>
      <c r="E41" t="s">
        <v>1595</v>
      </c>
    </row>
    <row r="42" spans="2:5">
      <c r="B42" t="s">
        <v>1555</v>
      </c>
      <c r="C42" t="str">
        <f t="shared" si="0"/>
        <v>SISTER DENIM &amp; COMPOSITE UNIT-2</v>
      </c>
      <c r="D42" t="str">
        <f t="shared" si="1"/>
        <v>SISTER DENIM &amp; COMPOSITE UNIT-2</v>
      </c>
      <c r="E42" t="s">
        <v>1457</v>
      </c>
    </row>
    <row r="43" spans="2:5">
      <c r="B43" t="s">
        <v>1556</v>
      </c>
      <c r="C43" t="str">
        <f t="shared" si="0"/>
        <v>Sonali Sweater Ltd</v>
      </c>
      <c r="D43" t="str">
        <f t="shared" si="1"/>
        <v>SONALI SWEATER LTD</v>
      </c>
      <c r="E43" t="s">
        <v>1596</v>
      </c>
    </row>
    <row r="44" spans="2:5">
      <c r="B44" t="s">
        <v>1557</v>
      </c>
      <c r="C44" t="str">
        <f t="shared" si="0"/>
        <v>SURUJ MIAH TEXTILE</v>
      </c>
      <c r="D44" t="str">
        <f t="shared" si="1"/>
        <v>SURUJ MIAH TEXTILE</v>
      </c>
      <c r="E44" t="s">
        <v>26</v>
      </c>
    </row>
    <row r="45" spans="2:5">
      <c r="B45" t="s">
        <v>1558</v>
      </c>
      <c r="C45" t="str">
        <f t="shared" si="0"/>
        <v>SWISS QUALITY LTD</v>
      </c>
      <c r="D45" t="str">
        <f t="shared" si="1"/>
        <v>SWISS QUALITY LTD</v>
      </c>
      <c r="E45" t="s">
        <v>145</v>
      </c>
    </row>
    <row r="46" spans="2:5">
      <c r="B46" t="s">
        <v>1559</v>
      </c>
      <c r="C46" t="str">
        <f t="shared" si="0"/>
        <v>TANZINA FASHION LTD</v>
      </c>
      <c r="D46" t="str">
        <f t="shared" si="1"/>
        <v>TANZINA FASHION LTD</v>
      </c>
      <c r="E46" t="s">
        <v>144</v>
      </c>
    </row>
    <row r="47" spans="2:5">
      <c r="B47" t="s">
        <v>1376</v>
      </c>
      <c r="C47" t="str">
        <f t="shared" si="0"/>
        <v>THE GLOBAL PACKING IND PVT LTD</v>
      </c>
      <c r="D47" t="str">
        <f t="shared" si="1"/>
        <v>THE GLOBAL PACKING IND PVT LTD</v>
      </c>
      <c r="E47" t="s">
        <v>143</v>
      </c>
    </row>
    <row r="48" spans="2:5">
      <c r="B48" t="s">
        <v>149</v>
      </c>
      <c r="C48" t="str">
        <f t="shared" si="0"/>
        <v>THERMAX BLENDED YARN LTD</v>
      </c>
      <c r="D48" t="str">
        <f t="shared" si="1"/>
        <v>THERMAX BLENDED YARN LTD</v>
      </c>
      <c r="E48" t="s">
        <v>1392</v>
      </c>
    </row>
    <row r="49" spans="2:5">
      <c r="B49" t="s">
        <v>188</v>
      </c>
      <c r="C49" t="str">
        <f t="shared" si="0"/>
        <v>THERMAX SPINNING LTD</v>
      </c>
      <c r="D49" t="str">
        <f t="shared" si="1"/>
        <v>THERMAX SPINNING LTD</v>
      </c>
      <c r="E49" t="s">
        <v>1389</v>
      </c>
    </row>
    <row r="50" spans="2:5">
      <c r="B50" t="s">
        <v>148</v>
      </c>
      <c r="C50" t="str">
        <f t="shared" si="0"/>
        <v>THERMAX YARN DYED FABRICS LTD</v>
      </c>
      <c r="D50" t="str">
        <f t="shared" si="1"/>
        <v>THERMAX YARN DYED FABRICS LTD</v>
      </c>
      <c r="E50" t="s">
        <v>1439</v>
      </c>
    </row>
    <row r="51" spans="2:5">
      <c r="B51" t="s">
        <v>136</v>
      </c>
      <c r="C51" t="str">
        <f t="shared" si="0"/>
        <v>THERMEX COLOUR COTTON LTD</v>
      </c>
      <c r="D51" t="str">
        <f t="shared" si="1"/>
        <v>THERMEX COLOUR COTTON LTD</v>
      </c>
      <c r="E51" t="s">
        <v>1440</v>
      </c>
    </row>
    <row r="52" spans="2:5">
      <c r="B52" t="s">
        <v>1560</v>
      </c>
      <c r="C52" t="str">
        <f t="shared" si="0"/>
        <v>VISTA FIBERS LTD</v>
      </c>
      <c r="D52" t="str">
        <f t="shared" si="1"/>
        <v>VISTA FIBERS LTD</v>
      </c>
      <c r="E52" t="s">
        <v>29</v>
      </c>
    </row>
    <row r="53" spans="2:5">
      <c r="B53" t="s">
        <v>1332</v>
      </c>
      <c r="C53" t="str">
        <f t="shared" si="0"/>
        <v>ZAKIA COTTONTEX LTD</v>
      </c>
      <c r="D53" t="str">
        <f t="shared" si="1"/>
        <v>ZAKIA COTTONTEX LTD</v>
      </c>
      <c r="E53" t="s">
        <v>126</v>
      </c>
    </row>
    <row r="54" spans="2:5">
      <c r="B54" t="s">
        <v>1561</v>
      </c>
      <c r="C54" t="str">
        <f t="shared" si="0"/>
        <v>MAGPIE KNITWEAR LTD</v>
      </c>
      <c r="D54" t="str">
        <f t="shared" si="1"/>
        <v>MAGPIE KNITWEAR LTD</v>
      </c>
      <c r="E54" t="s">
        <v>160</v>
      </c>
    </row>
    <row r="55" spans="2:5">
      <c r="B55" t="s">
        <v>1562</v>
      </c>
      <c r="C55" t="str">
        <f t="shared" si="0"/>
        <v>Entrust Textile BD Ltd</v>
      </c>
      <c r="D55" t="str">
        <f t="shared" si="1"/>
        <v>ENTRUST TEXTILE BD LTD</v>
      </c>
      <c r="E55" t="s">
        <v>1597</v>
      </c>
    </row>
    <row r="56" spans="2:5">
      <c r="B56" t="s">
        <v>1379</v>
      </c>
      <c r="C56" t="str">
        <f t="shared" si="0"/>
        <v>SURAIYA SPINNING MILLS LTD</v>
      </c>
      <c r="D56" t="str">
        <f t="shared" si="1"/>
        <v>SURAIYA SPINNING MILLS LTD</v>
      </c>
      <c r="E56" t="s">
        <v>1217</v>
      </c>
    </row>
    <row r="57" spans="2:5">
      <c r="B57" t="s">
        <v>924</v>
      </c>
      <c r="C57" t="str">
        <f t="shared" si="0"/>
        <v>ASSERTION DESIGNERS LTD</v>
      </c>
      <c r="D57" t="str">
        <f t="shared" si="1"/>
        <v>ASSERTION DESIGNERS LTD</v>
      </c>
      <c r="E57" t="s">
        <v>623</v>
      </c>
    </row>
    <row r="58" spans="2:5">
      <c r="B58" t="s">
        <v>1315</v>
      </c>
      <c r="C58" t="str">
        <f t="shared" si="0"/>
        <v>PACIFIC DENIMS LTD</v>
      </c>
      <c r="D58" t="str">
        <f t="shared" si="1"/>
        <v>PACIFIC DENIMS LTD</v>
      </c>
      <c r="E58" t="s">
        <v>970</v>
      </c>
    </row>
    <row r="59" spans="2:5">
      <c r="B59" t="s">
        <v>1316</v>
      </c>
      <c r="C59" t="str">
        <f t="shared" si="0"/>
        <v>AMJAD RICE AGENCY</v>
      </c>
      <c r="D59" t="str">
        <f t="shared" si="1"/>
        <v>AMJAD RICE AGENCY</v>
      </c>
      <c r="E59" t="s">
        <v>973</v>
      </c>
    </row>
    <row r="60" spans="2:5">
      <c r="B60" t="s">
        <v>1317</v>
      </c>
      <c r="C60" t="str">
        <f t="shared" si="0"/>
        <v>CASENDRA YARN DYEING LTD</v>
      </c>
      <c r="D60" t="str">
        <f t="shared" si="1"/>
        <v>CASENDRA YARN DYEING LTD</v>
      </c>
      <c r="E60" t="s">
        <v>977</v>
      </c>
    </row>
    <row r="61" spans="2:5">
      <c r="B61" t="s">
        <v>1318</v>
      </c>
      <c r="C61" t="str">
        <f t="shared" si="0"/>
        <v>M.R. TRADING CO.</v>
      </c>
      <c r="D61" t="str">
        <f t="shared" si="1"/>
        <v>M.R. TRADING CO.</v>
      </c>
      <c r="E61" t="s">
        <v>980</v>
      </c>
    </row>
    <row r="62" spans="2:5">
      <c r="B62" t="s">
        <v>1563</v>
      </c>
      <c r="C62" t="str">
        <f t="shared" si="0"/>
        <v>The Aristocrat</v>
      </c>
      <c r="D62" t="str">
        <f t="shared" si="1"/>
        <v>THE ARISTOCRAT</v>
      </c>
      <c r="E62" t="s">
        <v>1598</v>
      </c>
    </row>
    <row r="63" spans="2:5">
      <c r="B63" t="s">
        <v>1320</v>
      </c>
      <c r="C63" t="str">
        <f t="shared" si="0"/>
        <v>WELLPAC POLYMER</v>
      </c>
      <c r="D63" t="str">
        <f t="shared" si="1"/>
        <v>WELLPAC POLYMER</v>
      </c>
      <c r="E63" t="s">
        <v>987</v>
      </c>
    </row>
    <row r="64" spans="2:5">
      <c r="B64" t="s">
        <v>1564</v>
      </c>
      <c r="C64" t="str">
        <f t="shared" si="0"/>
        <v>TRUST FABRICS AND KNITINGPVT LTD</v>
      </c>
      <c r="D64" t="str">
        <f t="shared" si="1"/>
        <v>TRUST FABRICS AND KNITINGPVT LTD</v>
      </c>
      <c r="E64" t="s">
        <v>1456</v>
      </c>
    </row>
    <row r="65" spans="2:5">
      <c r="B65" t="s">
        <v>1565</v>
      </c>
      <c r="C65" t="str">
        <f t="shared" si="0"/>
        <v>SONALI FAB &amp; TEXTTILE MILLS</v>
      </c>
      <c r="D65" t="str">
        <f t="shared" si="1"/>
        <v>SONALI FAB &amp; TEXTTILE MILLS</v>
      </c>
      <c r="E65" t="s">
        <v>1452</v>
      </c>
    </row>
    <row r="66" spans="2:5">
      <c r="B66" t="s">
        <v>1002</v>
      </c>
      <c r="C66" t="str">
        <f t="shared" si="0"/>
        <v>BASHUNDARA MULTI PAPER</v>
      </c>
      <c r="D66" t="str">
        <f t="shared" si="1"/>
        <v>BASHUNDARA MULTI PAPER</v>
      </c>
      <c r="E66" t="s">
        <v>1385</v>
      </c>
    </row>
    <row r="67" spans="2:5">
      <c r="B67" t="s">
        <v>1566</v>
      </c>
      <c r="C67" t="str">
        <f t="shared" ref="C67:C130" si="2">TRIM(B67)</f>
        <v>BASHUNDARA PAPER</v>
      </c>
      <c r="D67" t="str">
        <f t="shared" ref="D67:D130" si="3">UPPER(C67)</f>
        <v>BASHUNDARA PAPER</v>
      </c>
      <c r="E67" t="s">
        <v>1409</v>
      </c>
    </row>
    <row r="68" spans="2:5">
      <c r="B68" t="s">
        <v>1327</v>
      </c>
      <c r="C68" t="str">
        <f t="shared" si="2"/>
        <v>SAMYTEX INDUSTRIES LTD</v>
      </c>
      <c r="D68" t="str">
        <f t="shared" si="3"/>
        <v>SAMYTEX INDUSTRIES LTD</v>
      </c>
      <c r="E68" t="s">
        <v>1010</v>
      </c>
    </row>
    <row r="69" spans="2:5">
      <c r="B69" t="s">
        <v>1567</v>
      </c>
      <c r="C69" t="str">
        <f t="shared" si="2"/>
        <v>ENERGIES POWER</v>
      </c>
      <c r="D69" t="str">
        <f t="shared" si="3"/>
        <v>ENERGIES POWER</v>
      </c>
      <c r="E69" t="s">
        <v>1453</v>
      </c>
    </row>
    <row r="70" spans="2:5">
      <c r="B70" t="s">
        <v>1327</v>
      </c>
      <c r="C70" t="str">
        <f t="shared" si="2"/>
        <v>SAMYTEX INDUSTRIES LTD</v>
      </c>
      <c r="D70" t="str">
        <f t="shared" si="3"/>
        <v>SAMYTEX INDUSTRIES LTD</v>
      </c>
      <c r="E70" t="s">
        <v>1010</v>
      </c>
    </row>
    <row r="71" spans="2:5">
      <c r="B71" t="s">
        <v>1329</v>
      </c>
      <c r="C71" t="str">
        <f t="shared" si="2"/>
        <v>BEXIMCO LTD</v>
      </c>
      <c r="D71" t="str">
        <f t="shared" si="3"/>
        <v>BEXIMCO LTD</v>
      </c>
      <c r="E71" t="s">
        <v>1019</v>
      </c>
    </row>
    <row r="72" spans="2:5">
      <c r="B72" t="s">
        <v>1567</v>
      </c>
      <c r="C72" t="str">
        <f t="shared" si="2"/>
        <v>ENERGIES POWER</v>
      </c>
      <c r="D72" t="str">
        <f t="shared" si="3"/>
        <v>ENERGIES POWER</v>
      </c>
      <c r="E72" t="s">
        <v>1453</v>
      </c>
    </row>
    <row r="73" spans="2:5">
      <c r="B73" t="s">
        <v>133</v>
      </c>
      <c r="C73" t="str">
        <f t="shared" si="2"/>
        <v>MUTUAL CONCERN CORPORATION</v>
      </c>
      <c r="D73" t="str">
        <f t="shared" si="3"/>
        <v>MUTUAL CONCERN CORPORATION</v>
      </c>
      <c r="E73" t="s">
        <v>1398</v>
      </c>
    </row>
    <row r="74" spans="2:5">
      <c r="B74" t="s">
        <v>1331</v>
      </c>
      <c r="C74" t="str">
        <f t="shared" si="2"/>
        <v>AINUN TRADE HOUSE LTD</v>
      </c>
      <c r="D74" t="str">
        <f t="shared" si="3"/>
        <v>AINUN TRADE HOUSE LTD</v>
      </c>
      <c r="E74" t="s">
        <v>132</v>
      </c>
    </row>
    <row r="75" spans="2:5">
      <c r="B75" t="s">
        <v>1332</v>
      </c>
      <c r="C75" t="str">
        <f t="shared" si="2"/>
        <v>ZAKIA COTTONTEX LTD</v>
      </c>
      <c r="D75" t="str">
        <f t="shared" si="3"/>
        <v>ZAKIA COTTONTEX LTD</v>
      </c>
      <c r="E75" t="s">
        <v>126</v>
      </c>
    </row>
    <row r="76" spans="2:5">
      <c r="B76" t="s">
        <v>1333</v>
      </c>
      <c r="C76" t="str">
        <f t="shared" si="2"/>
        <v>MARHABA SYNTHETIC MILLS</v>
      </c>
      <c r="D76" t="str">
        <f t="shared" si="3"/>
        <v>MARHABA SYNTHETIC MILLS</v>
      </c>
      <c r="E76" t="s">
        <v>1041</v>
      </c>
    </row>
    <row r="77" spans="2:5">
      <c r="B77" t="s">
        <v>1334</v>
      </c>
      <c r="C77" t="str">
        <f t="shared" si="2"/>
        <v>HAT INT PVT LTD</v>
      </c>
      <c r="D77" t="str">
        <f t="shared" si="3"/>
        <v>HAT INT PVT LTD</v>
      </c>
      <c r="E77" t="s">
        <v>1048</v>
      </c>
    </row>
    <row r="78" spans="2:5">
      <c r="B78" t="s">
        <v>1335</v>
      </c>
      <c r="C78" t="str">
        <f t="shared" si="2"/>
        <v>M/S TANAKA TRADE COM INT LTD</v>
      </c>
      <c r="D78" t="str">
        <f t="shared" si="3"/>
        <v>M/S TANAKA TRADE COM INT LTD</v>
      </c>
      <c r="E78" t="s">
        <v>1050</v>
      </c>
    </row>
    <row r="79" spans="2:5">
      <c r="B79" t="s">
        <v>1336</v>
      </c>
      <c r="C79" t="str">
        <f t="shared" si="2"/>
        <v>SWISS QUALITY BAN</v>
      </c>
      <c r="D79" t="str">
        <f t="shared" si="3"/>
        <v>SWISS QUALITY BAN</v>
      </c>
      <c r="E79" t="s">
        <v>1052</v>
      </c>
    </row>
    <row r="80" spans="2:5">
      <c r="B80" t="s">
        <v>1333</v>
      </c>
      <c r="C80" t="str">
        <f t="shared" si="2"/>
        <v>MARHABA SYNTHETIC MILLS</v>
      </c>
      <c r="D80" t="str">
        <f t="shared" si="3"/>
        <v>MARHABA SYNTHETIC MILLS</v>
      </c>
      <c r="E80" t="s">
        <v>1041</v>
      </c>
    </row>
    <row r="81" spans="2:5">
      <c r="B81" t="s">
        <v>894</v>
      </c>
      <c r="C81" t="str">
        <f t="shared" si="2"/>
        <v>WISTERIA TEXTILES LIMITED</v>
      </c>
      <c r="D81" t="str">
        <f t="shared" si="3"/>
        <v>WISTERIA TEXTILES LIMITED</v>
      </c>
      <c r="E81" t="s">
        <v>517</v>
      </c>
    </row>
    <row r="82" spans="2:5">
      <c r="B82" t="s">
        <v>895</v>
      </c>
      <c r="C82" t="str">
        <f t="shared" si="2"/>
        <v>PARENTS SWEATER LTD</v>
      </c>
      <c r="D82" t="str">
        <f t="shared" si="3"/>
        <v>PARENTS SWEATER LTD</v>
      </c>
      <c r="E82" t="s">
        <v>527</v>
      </c>
    </row>
    <row r="83" spans="2:5">
      <c r="B83" t="s">
        <v>1337</v>
      </c>
      <c r="C83" t="str">
        <f t="shared" si="2"/>
        <v>SUNBEAM KNIT WEAR LTD</v>
      </c>
      <c r="D83" t="str">
        <f t="shared" si="3"/>
        <v>SUNBEAM KNIT WEAR LTD</v>
      </c>
      <c r="E83" t="s">
        <v>1066</v>
      </c>
    </row>
    <row r="84" spans="2:5">
      <c r="B84" t="s">
        <v>896</v>
      </c>
      <c r="C84" t="str">
        <f t="shared" si="2"/>
        <v>SUBORNNO BAN LTD</v>
      </c>
      <c r="D84" t="str">
        <f t="shared" si="3"/>
        <v>SUBORNNO BAN LTD</v>
      </c>
      <c r="E84" t="s">
        <v>531</v>
      </c>
    </row>
    <row r="85" spans="2:5">
      <c r="B85" t="s">
        <v>897</v>
      </c>
      <c r="C85" t="str">
        <f t="shared" si="2"/>
        <v>PACIFIC A1 SWEATER</v>
      </c>
      <c r="D85" t="str">
        <f t="shared" si="3"/>
        <v>PACIFIC A1 SWEATER</v>
      </c>
      <c r="E85" t="s">
        <v>71</v>
      </c>
    </row>
    <row r="86" spans="2:5">
      <c r="B86" t="s">
        <v>1338</v>
      </c>
      <c r="C86" t="str">
        <f t="shared" si="2"/>
        <v>SHADHIN DYEING(PVT) LTD</v>
      </c>
      <c r="D86" t="str">
        <f t="shared" si="3"/>
        <v>SHADHIN DYEING(PVT) LTD</v>
      </c>
      <c r="E86" t="s">
        <v>1081</v>
      </c>
    </row>
    <row r="87" spans="2:5">
      <c r="B87" t="s">
        <v>1339</v>
      </c>
      <c r="C87" t="str">
        <f t="shared" si="2"/>
        <v>IFTEE FASHION LTD</v>
      </c>
      <c r="D87" t="str">
        <f t="shared" si="3"/>
        <v>IFTEE FASHION LTD</v>
      </c>
      <c r="E87" t="s">
        <v>1085</v>
      </c>
    </row>
    <row r="88" spans="2:5">
      <c r="B88" t="s">
        <v>1341</v>
      </c>
      <c r="C88" t="str">
        <f t="shared" si="2"/>
        <v>Bashundhara Industrial Complex</v>
      </c>
      <c r="D88" t="str">
        <f t="shared" si="3"/>
        <v>BASHUNDHARA INDUSTRIAL COMPLEX</v>
      </c>
      <c r="E88" t="s">
        <v>1599</v>
      </c>
    </row>
    <row r="89" spans="2:5">
      <c r="B89" t="s">
        <v>1098</v>
      </c>
      <c r="C89" t="str">
        <f t="shared" si="2"/>
        <v>Prime Composite Mills Ltd</v>
      </c>
      <c r="D89" t="str">
        <f t="shared" si="3"/>
        <v>PRIME COMPOSITE MILLS LTD</v>
      </c>
      <c r="E89" t="s">
        <v>1403</v>
      </c>
    </row>
    <row r="90" spans="2:5">
      <c r="B90" t="s">
        <v>1104</v>
      </c>
      <c r="C90" t="str">
        <f t="shared" si="2"/>
        <v>Prime Melange Yarn Mills Ltd</v>
      </c>
      <c r="D90" t="str">
        <f t="shared" si="3"/>
        <v>PRIME MELANGE YARN MILLS LTD</v>
      </c>
      <c r="E90" t="s">
        <v>1600</v>
      </c>
    </row>
    <row r="91" spans="2:5">
      <c r="B91" t="s">
        <v>1565</v>
      </c>
      <c r="C91" t="str">
        <f t="shared" si="2"/>
        <v>SONALI FAB &amp; TEXTTILE MILLS</v>
      </c>
      <c r="D91" t="str">
        <f t="shared" si="3"/>
        <v>SONALI FAB &amp; TEXTTILE MILLS</v>
      </c>
      <c r="E91" t="s">
        <v>1452</v>
      </c>
    </row>
    <row r="92" spans="2:5">
      <c r="B92" t="s">
        <v>112</v>
      </c>
      <c r="C92" t="str">
        <f t="shared" si="2"/>
        <v>Global Pac Ind Pvt Ltd</v>
      </c>
      <c r="D92" t="str">
        <f t="shared" si="3"/>
        <v>GLOBAL PAC IND PVT LTD</v>
      </c>
      <c r="E92" t="s">
        <v>1588</v>
      </c>
    </row>
    <row r="93" spans="2:5">
      <c r="B93" t="s">
        <v>1111</v>
      </c>
      <c r="C93" t="str">
        <f t="shared" si="2"/>
        <v>TTT Leath &amp; Footwear Ind Ltd</v>
      </c>
      <c r="D93" t="str">
        <f t="shared" si="3"/>
        <v>TTT LEATH &amp; FOOTWEAR IND LTD</v>
      </c>
      <c r="E93" t="s">
        <v>1601</v>
      </c>
    </row>
    <row r="94" spans="2:5">
      <c r="B94" t="s">
        <v>106</v>
      </c>
      <c r="C94" t="str">
        <f t="shared" si="2"/>
        <v>Prime Melenge Yarn ltd</v>
      </c>
      <c r="D94" t="str">
        <f t="shared" si="3"/>
        <v>PRIME MELENGE YARN LTD</v>
      </c>
      <c r="E94" t="s">
        <v>1591</v>
      </c>
    </row>
    <row r="95" spans="2:5">
      <c r="B95" t="s">
        <v>1098</v>
      </c>
      <c r="C95" t="str">
        <f t="shared" si="2"/>
        <v>Prime Composite Mills Ltd</v>
      </c>
      <c r="D95" t="str">
        <f t="shared" si="3"/>
        <v>PRIME COMPOSITE MILLS LTD</v>
      </c>
      <c r="E95" t="s">
        <v>1403</v>
      </c>
    </row>
    <row r="96" spans="2:5">
      <c r="B96" t="s">
        <v>112</v>
      </c>
      <c r="C96" t="str">
        <f t="shared" si="2"/>
        <v>Global Pac Ind Pvt Ltd</v>
      </c>
      <c r="D96" t="str">
        <f t="shared" si="3"/>
        <v>GLOBAL PAC IND PVT LTD</v>
      </c>
      <c r="E96" t="s">
        <v>1588</v>
      </c>
    </row>
    <row r="97" spans="2:5">
      <c r="B97" t="s">
        <v>1568</v>
      </c>
      <c r="C97" t="str">
        <f t="shared" si="2"/>
        <v>Magpie Composite Ltd</v>
      </c>
      <c r="D97" t="str">
        <f t="shared" si="3"/>
        <v>MAGPIE COMPOSITE LTD</v>
      </c>
      <c r="E97" t="s">
        <v>159</v>
      </c>
    </row>
    <row r="98" spans="2:5">
      <c r="B98" t="s">
        <v>1123</v>
      </c>
      <c r="C98" t="str">
        <f t="shared" si="2"/>
        <v>Bd Thai Food &amp; Bev Ltd</v>
      </c>
      <c r="D98" t="str">
        <f t="shared" si="3"/>
        <v>BD THAI FOOD &amp; BEV LTD</v>
      </c>
      <c r="E98" t="s">
        <v>1602</v>
      </c>
    </row>
    <row r="99" spans="2:5">
      <c r="B99" t="s">
        <v>1569</v>
      </c>
      <c r="C99" t="str">
        <f t="shared" si="2"/>
        <v>Magpie KNITWEAR Ltd</v>
      </c>
      <c r="D99" t="str">
        <f t="shared" si="3"/>
        <v>MAGPIE KNITWEAR LTD</v>
      </c>
      <c r="E99" t="s">
        <v>160</v>
      </c>
    </row>
    <row r="100" spans="2:5">
      <c r="B100" t="s">
        <v>1128</v>
      </c>
      <c r="C100" t="str">
        <f t="shared" si="2"/>
        <v>ADVANCE COMPOSITE LTD</v>
      </c>
      <c r="D100" t="str">
        <f t="shared" si="3"/>
        <v>ADVANCE COMPOSITE LTD</v>
      </c>
      <c r="E100" t="s">
        <v>1414</v>
      </c>
    </row>
    <row r="101" spans="2:5">
      <c r="B101" t="s">
        <v>130</v>
      </c>
      <c r="C101" t="str">
        <f t="shared" si="2"/>
        <v>NAFIZ PAPER</v>
      </c>
      <c r="D101" t="str">
        <f t="shared" si="3"/>
        <v>NAFIZ PAPER</v>
      </c>
      <c r="E101" t="s">
        <v>1407</v>
      </c>
    </row>
    <row r="102" spans="2:5">
      <c r="B102" t="s">
        <v>1568</v>
      </c>
      <c r="C102" t="str">
        <f t="shared" si="2"/>
        <v>Magpie Composite Ltd</v>
      </c>
      <c r="D102" t="str">
        <f t="shared" si="3"/>
        <v>MAGPIE COMPOSITE LTD</v>
      </c>
      <c r="E102" t="s">
        <v>159</v>
      </c>
    </row>
    <row r="103" spans="2:5">
      <c r="B103" t="s">
        <v>1569</v>
      </c>
      <c r="C103" t="str">
        <f t="shared" si="2"/>
        <v>Magpie KNITWEAR Ltd</v>
      </c>
      <c r="D103" t="str">
        <f t="shared" si="3"/>
        <v>MAGPIE KNITWEAR LTD</v>
      </c>
      <c r="E103" t="s">
        <v>160</v>
      </c>
    </row>
    <row r="104" spans="2:5">
      <c r="B104" t="s">
        <v>895</v>
      </c>
      <c r="C104" t="str">
        <f t="shared" si="2"/>
        <v>PARENTS SWEATER LTD</v>
      </c>
      <c r="D104" t="str">
        <f t="shared" si="3"/>
        <v>PARENTS SWEATER LTD</v>
      </c>
      <c r="E104" t="s">
        <v>527</v>
      </c>
    </row>
    <row r="105" spans="2:5">
      <c r="B105" t="s">
        <v>1331</v>
      </c>
      <c r="C105" t="str">
        <f t="shared" si="2"/>
        <v>AINUN TRADE HOUSE LTD</v>
      </c>
      <c r="D105" t="str">
        <f t="shared" si="3"/>
        <v>AINUN TRADE HOUSE LTD</v>
      </c>
      <c r="E105" t="s">
        <v>132</v>
      </c>
    </row>
    <row r="106" spans="2:5">
      <c r="B106" t="s">
        <v>1355</v>
      </c>
      <c r="C106" t="str">
        <f t="shared" si="2"/>
        <v>MUTUAL CONCERN COR LTD</v>
      </c>
      <c r="D106" t="str">
        <f t="shared" si="3"/>
        <v>MUTUAL CONCERN COR LTD</v>
      </c>
      <c r="E106" t="s">
        <v>1145</v>
      </c>
    </row>
    <row r="107" spans="2:5">
      <c r="B107" t="s">
        <v>1570</v>
      </c>
      <c r="C107" t="str">
        <f t="shared" si="2"/>
        <v>DRESSDEN TEXTILE LTD</v>
      </c>
      <c r="D107" t="str">
        <f t="shared" si="3"/>
        <v>DRESSDEN TEXTILE LTD</v>
      </c>
      <c r="E107" t="s">
        <v>1443</v>
      </c>
    </row>
    <row r="108" spans="2:5">
      <c r="B108" t="s">
        <v>1332</v>
      </c>
      <c r="C108" t="str">
        <f t="shared" si="2"/>
        <v>ZAKIA COTTONTEX LTD</v>
      </c>
      <c r="D108" t="str">
        <f t="shared" si="3"/>
        <v>ZAKIA COTTONTEX LTD</v>
      </c>
      <c r="E108" t="s">
        <v>126</v>
      </c>
    </row>
    <row r="109" spans="2:5">
      <c r="B109" t="s">
        <v>1357</v>
      </c>
      <c r="C109" t="str">
        <f t="shared" si="2"/>
        <v>ANTIM KNITWEAR LTD</v>
      </c>
      <c r="D109" t="str">
        <f t="shared" si="3"/>
        <v>ANTIM KNITWEAR LTD</v>
      </c>
      <c r="E109" t="s">
        <v>1153</v>
      </c>
    </row>
    <row r="110" spans="2:5">
      <c r="B110" t="s">
        <v>1571</v>
      </c>
      <c r="C110" t="str">
        <f t="shared" si="2"/>
        <v>alema (2 parts )</v>
      </c>
      <c r="D110" t="str">
        <f t="shared" si="3"/>
        <v>ALEMA (2 PARTS )</v>
      </c>
      <c r="E110" t="s">
        <v>1603</v>
      </c>
    </row>
    <row r="111" spans="2:5">
      <c r="B111" t="s">
        <v>1569</v>
      </c>
      <c r="C111" t="str">
        <f t="shared" si="2"/>
        <v>Magpie KNITWEAR Ltd</v>
      </c>
      <c r="D111" t="str">
        <f t="shared" si="3"/>
        <v>MAGPIE KNITWEAR LTD</v>
      </c>
      <c r="E111" t="s">
        <v>160</v>
      </c>
    </row>
    <row r="112" spans="2:5">
      <c r="B112" t="s">
        <v>1572</v>
      </c>
      <c r="C112" t="str">
        <f t="shared" si="2"/>
        <v>SHE &amp; He appreals</v>
      </c>
      <c r="D112" t="str">
        <f t="shared" si="3"/>
        <v>SHE &amp; HE APPREALS</v>
      </c>
      <c r="E112" t="s">
        <v>1604</v>
      </c>
    </row>
    <row r="113" spans="2:5">
      <c r="B113" t="s">
        <v>1360</v>
      </c>
      <c r="C113" t="str">
        <f t="shared" si="2"/>
        <v>dragon sweater ltd</v>
      </c>
      <c r="D113" t="str">
        <f t="shared" si="3"/>
        <v>DRAGON SWEATER LTD</v>
      </c>
      <c r="E113" t="s">
        <v>1605</v>
      </c>
    </row>
    <row r="114" spans="2:5">
      <c r="B114" t="s">
        <v>1573</v>
      </c>
      <c r="C114" t="str">
        <f t="shared" si="2"/>
        <v>PRIME MEEANGE MILLS</v>
      </c>
      <c r="D114" t="str">
        <f t="shared" si="3"/>
        <v>PRIME MEEANGE MILLS</v>
      </c>
      <c r="E114" t="s">
        <v>1454</v>
      </c>
    </row>
    <row r="115" spans="2:5">
      <c r="B115" t="s">
        <v>1098</v>
      </c>
      <c r="C115" t="str">
        <f t="shared" si="2"/>
        <v>Prime Composite Mills Ltd</v>
      </c>
      <c r="D115" t="str">
        <f t="shared" si="3"/>
        <v>PRIME COMPOSITE MILLS LTD</v>
      </c>
      <c r="E115" t="s">
        <v>1403</v>
      </c>
    </row>
    <row r="116" spans="2:5">
      <c r="B116" t="s">
        <v>1574</v>
      </c>
      <c r="C116" t="str">
        <f t="shared" si="2"/>
        <v>PRIME MELEANGE MILLS LTD</v>
      </c>
      <c r="D116" t="str">
        <f t="shared" si="3"/>
        <v>PRIME MELEANGE MILLS LTD</v>
      </c>
      <c r="E116" t="s">
        <v>1445</v>
      </c>
    </row>
    <row r="117" spans="2:5">
      <c r="B117" t="s">
        <v>1575</v>
      </c>
      <c r="C117" t="str">
        <f t="shared" si="2"/>
        <v>THERMAX MELLANGE SPINNIG LTD</v>
      </c>
      <c r="D117" t="str">
        <f t="shared" si="3"/>
        <v>THERMAX MELLANGE SPINNIG LTD</v>
      </c>
      <c r="E117" t="s">
        <v>1446</v>
      </c>
    </row>
    <row r="118" spans="2:5">
      <c r="B118" t="s">
        <v>148</v>
      </c>
      <c r="C118" t="str">
        <f t="shared" si="2"/>
        <v>THERMAX YARN DYED FABRICS LTD</v>
      </c>
      <c r="D118" t="str">
        <f t="shared" si="3"/>
        <v>THERMAX YARN DYED FABRICS LTD</v>
      </c>
      <c r="E118" t="s">
        <v>1439</v>
      </c>
    </row>
    <row r="119" spans="2:5">
      <c r="B119" t="s">
        <v>149</v>
      </c>
      <c r="C119" t="str">
        <f t="shared" si="2"/>
        <v>THERMAX BLENDED YARN LTD</v>
      </c>
      <c r="D119" t="str">
        <f t="shared" si="3"/>
        <v>THERMAX BLENDED YARN LTD</v>
      </c>
      <c r="E119" t="s">
        <v>1392</v>
      </c>
    </row>
    <row r="120" spans="2:5">
      <c r="B120" t="s">
        <v>1576</v>
      </c>
      <c r="C120" t="str">
        <f t="shared" si="2"/>
        <v>SISTER DENIM COMPOSITE LTD</v>
      </c>
      <c r="D120" t="str">
        <f t="shared" si="3"/>
        <v>SISTER DENIM COMPOSITE LTD</v>
      </c>
      <c r="E120" t="s">
        <v>1447</v>
      </c>
    </row>
    <row r="121" spans="2:5">
      <c r="B121" t="s">
        <v>1577</v>
      </c>
      <c r="C121" t="str">
        <f t="shared" si="2"/>
        <v>ADURY FASHION &amp; Print LTD</v>
      </c>
      <c r="D121" t="str">
        <f t="shared" si="3"/>
        <v>ADURY FASHION &amp; PRINT LTD</v>
      </c>
      <c r="E121" t="s">
        <v>1391</v>
      </c>
    </row>
    <row r="122" spans="2:5">
      <c r="B122" t="s">
        <v>149</v>
      </c>
      <c r="C122" t="str">
        <f t="shared" si="2"/>
        <v>THERMAX BLENDED YARN LTD</v>
      </c>
      <c r="D122" t="str">
        <f t="shared" si="3"/>
        <v>THERMAX BLENDED YARN LTD</v>
      </c>
      <c r="E122" t="s">
        <v>1392</v>
      </c>
    </row>
    <row r="123" spans="2:5">
      <c r="B123" t="s">
        <v>151</v>
      </c>
      <c r="C123" t="str">
        <f t="shared" si="2"/>
        <v>ADURY FASHION &amp; PRINT LTD</v>
      </c>
      <c r="D123" t="str">
        <f t="shared" si="3"/>
        <v>ADURY FASHION &amp; PRINT LTD</v>
      </c>
      <c r="E123" t="s">
        <v>1391</v>
      </c>
    </row>
    <row r="124" spans="2:5">
      <c r="B124" t="s">
        <v>1578</v>
      </c>
      <c r="C124" t="str">
        <f t="shared" si="2"/>
        <v>THERMAX COLOUR COTTON LTD</v>
      </c>
      <c r="D124" t="str">
        <f t="shared" si="3"/>
        <v>THERMAX COLOUR COTTON LTD</v>
      </c>
      <c r="E124" t="s">
        <v>1395</v>
      </c>
    </row>
    <row r="125" spans="2:5">
      <c r="B125" t="s">
        <v>188</v>
      </c>
      <c r="C125" t="str">
        <f t="shared" si="2"/>
        <v>THERMAX SPINNING LTD</v>
      </c>
      <c r="D125" t="str">
        <f t="shared" si="3"/>
        <v>THERMAX SPINNING LTD</v>
      </c>
      <c r="E125" t="s">
        <v>1389</v>
      </c>
    </row>
    <row r="126" spans="2:5">
      <c r="B126" t="s">
        <v>151</v>
      </c>
      <c r="C126" t="str">
        <f t="shared" si="2"/>
        <v>ADURY FASHION &amp; PRINT LTD</v>
      </c>
      <c r="D126" t="str">
        <f t="shared" si="3"/>
        <v>ADURY FASHION &amp; PRINT LTD</v>
      </c>
      <c r="E126" t="s">
        <v>1391</v>
      </c>
    </row>
    <row r="127" spans="2:5">
      <c r="B127" t="s">
        <v>1579</v>
      </c>
      <c r="C127" t="str">
        <f t="shared" si="2"/>
        <v>ADURY APPREALS LTD</v>
      </c>
      <c r="D127" t="str">
        <f>UPPER(C127)</f>
        <v>ADURY APPREALS LTD</v>
      </c>
      <c r="E127" t="s">
        <v>1449</v>
      </c>
    </row>
    <row r="128" spans="2:5">
      <c r="B128" t="s">
        <v>1580</v>
      </c>
      <c r="C128" t="str">
        <f t="shared" si="2"/>
        <v>SISTER Denim Composite Ltd (U2 )</v>
      </c>
      <c r="D128" t="str">
        <f t="shared" si="3"/>
        <v>SISTER DENIM COMPOSITE LTD (U2 )</v>
      </c>
      <c r="E128" t="s">
        <v>1606</v>
      </c>
    </row>
    <row r="129" spans="2:5">
      <c r="B129" t="s">
        <v>148</v>
      </c>
      <c r="C129" t="str">
        <f t="shared" si="2"/>
        <v>THERMAX YARN DYED FABRICS LTD</v>
      </c>
      <c r="D129" t="str">
        <f t="shared" si="3"/>
        <v>THERMAX YARN DYED FABRICS LTD</v>
      </c>
      <c r="E129" t="s">
        <v>1439</v>
      </c>
    </row>
    <row r="130" spans="2:5">
      <c r="B130" t="s">
        <v>149</v>
      </c>
      <c r="C130" t="str">
        <f t="shared" si="2"/>
        <v>THERMAX BLENDED YARN LTD</v>
      </c>
      <c r="D130" t="str">
        <f t="shared" si="3"/>
        <v>THERMAX BLENDED YARN LTD</v>
      </c>
      <c r="E130" t="s">
        <v>1392</v>
      </c>
    </row>
    <row r="131" spans="2:5">
      <c r="B131" t="s">
        <v>151</v>
      </c>
      <c r="C131" t="str">
        <f t="shared" ref="C131:C138" si="4">TRIM(B131)</f>
        <v>ADURY FASHION &amp; PRINT LTD</v>
      </c>
      <c r="D131" t="str">
        <f t="shared" ref="D131:D138" si="5">UPPER(C131)</f>
        <v>ADURY FASHION &amp; PRINT LTD</v>
      </c>
      <c r="E131" t="s">
        <v>1391</v>
      </c>
    </row>
    <row r="132" spans="2:5">
      <c r="B132" t="s">
        <v>148</v>
      </c>
      <c r="C132" t="str">
        <f t="shared" si="4"/>
        <v>THERMAX YARN DYED FABRICS LTD</v>
      </c>
      <c r="D132" t="str">
        <f t="shared" si="5"/>
        <v>THERMAX YARN DYED FABRICS LTD</v>
      </c>
      <c r="E132" t="s">
        <v>1439</v>
      </c>
    </row>
    <row r="133" spans="2:5">
      <c r="B133" t="s">
        <v>188</v>
      </c>
      <c r="C133" t="str">
        <f t="shared" si="4"/>
        <v>THERMAX SPINNING LTD</v>
      </c>
      <c r="D133" t="str">
        <f t="shared" si="5"/>
        <v>THERMAX SPINNING LTD</v>
      </c>
      <c r="E133" t="s">
        <v>1389</v>
      </c>
    </row>
    <row r="134" spans="2:5">
      <c r="B134" t="s">
        <v>112</v>
      </c>
      <c r="C134" t="str">
        <f t="shared" si="4"/>
        <v>Global Pac Ind Pvt Ltd</v>
      </c>
      <c r="D134" t="str">
        <f t="shared" si="5"/>
        <v>GLOBAL PAC IND PVT LTD</v>
      </c>
      <c r="E134" t="s">
        <v>1588</v>
      </c>
    </row>
    <row r="135" spans="2:5">
      <c r="B135" t="s">
        <v>1376</v>
      </c>
      <c r="C135" t="str">
        <f t="shared" si="4"/>
        <v>THE GLOBAL PACKING IND PVT LTD</v>
      </c>
      <c r="D135" t="str">
        <f t="shared" si="5"/>
        <v>THE GLOBAL PACKING IND PVT LTD</v>
      </c>
      <c r="E135" t="s">
        <v>143</v>
      </c>
    </row>
    <row r="136" spans="2:5">
      <c r="B136" t="s">
        <v>1581</v>
      </c>
      <c r="C136" t="str">
        <f t="shared" si="4"/>
        <v>AG PACKING LTD</v>
      </c>
      <c r="D136" t="str">
        <f t="shared" si="5"/>
        <v>AG PACKING LTD</v>
      </c>
      <c r="E136" t="s">
        <v>1451</v>
      </c>
    </row>
    <row r="137" spans="2:5">
      <c r="B137" t="s">
        <v>1215</v>
      </c>
      <c r="C137" t="str">
        <f t="shared" si="4"/>
        <v>Entrust Textile</v>
      </c>
      <c r="D137" t="str">
        <f t="shared" si="5"/>
        <v>ENTRUST TEXTILE</v>
      </c>
      <c r="E137" t="s">
        <v>1607</v>
      </c>
    </row>
    <row r="138" spans="2:5">
      <c r="B138" t="s">
        <v>1379</v>
      </c>
      <c r="C138" t="str">
        <f t="shared" si="4"/>
        <v>SURAIYA SPINNING MILLS LTD</v>
      </c>
      <c r="D138" t="str">
        <f t="shared" si="5"/>
        <v>SURAIYA SPINNING MILLS LTD</v>
      </c>
      <c r="E138" t="s">
        <v>1217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B2:B138"/>
  <sheetViews>
    <sheetView topLeftCell="A105" workbookViewId="0">
      <selection activeCell="B2" sqref="B2:B136"/>
    </sheetView>
  </sheetViews>
  <sheetFormatPr defaultRowHeight="15"/>
  <cols>
    <col min="2" max="2" width="35.28515625" bestFit="1" customWidth="1"/>
  </cols>
  <sheetData>
    <row r="2" spans="2:2">
      <c r="B2" t="s">
        <v>1449</v>
      </c>
    </row>
    <row r="3" spans="2:2">
      <c r="B3" t="s">
        <v>1391</v>
      </c>
    </row>
    <row r="4" spans="2:2" hidden="1"/>
    <row r="5" spans="2:2" hidden="1"/>
    <row r="6" spans="2:2" hidden="1"/>
    <row r="7" spans="2:2" hidden="1"/>
    <row r="8" spans="2:2">
      <c r="B8" t="s">
        <v>1583</v>
      </c>
    </row>
    <row r="9" spans="2:2">
      <c r="B9" t="s">
        <v>1414</v>
      </c>
    </row>
    <row r="10" spans="2:2">
      <c r="B10" t="s">
        <v>1451</v>
      </c>
    </row>
    <row r="11" spans="2:2">
      <c r="B11" t="s">
        <v>132</v>
      </c>
    </row>
    <row r="12" spans="2:2" hidden="1"/>
    <row r="13" spans="2:2" hidden="1"/>
    <row r="14" spans="2:2">
      <c r="B14" t="s">
        <v>1603</v>
      </c>
    </row>
    <row r="15" spans="2:2">
      <c r="B15" t="s">
        <v>973</v>
      </c>
    </row>
    <row r="16" spans="2:2">
      <c r="B16" t="s">
        <v>1417</v>
      </c>
    </row>
    <row r="17" spans="2:2">
      <c r="B17" t="s">
        <v>1153</v>
      </c>
    </row>
    <row r="18" spans="2:2">
      <c r="B18" t="s">
        <v>1585</v>
      </c>
    </row>
    <row r="19" spans="2:2">
      <c r="B19" t="s">
        <v>1584</v>
      </c>
    </row>
    <row r="20" spans="2:2">
      <c r="B20" t="s">
        <v>1586</v>
      </c>
    </row>
    <row r="21" spans="2:2">
      <c r="B21" t="s">
        <v>623</v>
      </c>
    </row>
    <row r="22" spans="2:2">
      <c r="B22" t="s">
        <v>1421</v>
      </c>
    </row>
    <row r="23" spans="2:2">
      <c r="B23" t="s">
        <v>1422</v>
      </c>
    </row>
    <row r="24" spans="2:2">
      <c r="B24" t="s">
        <v>1385</v>
      </c>
    </row>
    <row r="25" spans="2:2">
      <c r="B25" t="s">
        <v>1409</v>
      </c>
    </row>
    <row r="26" spans="2:2">
      <c r="B26" t="s">
        <v>1599</v>
      </c>
    </row>
    <row r="27" spans="2:2">
      <c r="B27" t="s">
        <v>1582</v>
      </c>
    </row>
    <row r="28" spans="2:2">
      <c r="B28" t="s">
        <v>1602</v>
      </c>
    </row>
    <row r="29" spans="2:2">
      <c r="B29" t="s">
        <v>1019</v>
      </c>
    </row>
    <row r="30" spans="2:2">
      <c r="B30" t="s">
        <v>1423</v>
      </c>
    </row>
    <row r="31" spans="2:2">
      <c r="B31" t="s">
        <v>977</v>
      </c>
    </row>
    <row r="32" spans="2:2">
      <c r="B32" t="s">
        <v>23</v>
      </c>
    </row>
    <row r="33" spans="2:2">
      <c r="B33" t="s">
        <v>1605</v>
      </c>
    </row>
    <row r="34" spans="2:2">
      <c r="B34" t="s">
        <v>1443</v>
      </c>
    </row>
    <row r="35" spans="2:2" hidden="1"/>
    <row r="36" spans="2:2">
      <c r="B36" t="s">
        <v>75</v>
      </c>
    </row>
    <row r="37" spans="2:2">
      <c r="B37" t="s">
        <v>1453</v>
      </c>
    </row>
    <row r="38" spans="2:2" hidden="1"/>
    <row r="39" spans="2:2">
      <c r="B39" t="s">
        <v>1607</v>
      </c>
    </row>
    <row r="40" spans="2:2">
      <c r="B40" t="s">
        <v>1597</v>
      </c>
    </row>
    <row r="41" spans="2:2">
      <c r="B41" t="s">
        <v>1425</v>
      </c>
    </row>
    <row r="42" spans="2:2">
      <c r="B42" t="s">
        <v>1588</v>
      </c>
    </row>
    <row r="43" spans="2:2" hidden="1"/>
    <row r="44" spans="2:2" hidden="1"/>
    <row r="45" spans="2:2" hidden="1"/>
    <row r="46" spans="2:2">
      <c r="B46" t="s">
        <v>1381</v>
      </c>
    </row>
    <row r="47" spans="2:2">
      <c r="B47" t="s">
        <v>1589</v>
      </c>
    </row>
    <row r="48" spans="2:2">
      <c r="B48" t="s">
        <v>1048</v>
      </c>
    </row>
    <row r="49" spans="2:2">
      <c r="B49" t="s">
        <v>1085</v>
      </c>
    </row>
    <row r="50" spans="2:2">
      <c r="B50" t="s">
        <v>1</v>
      </c>
    </row>
    <row r="51" spans="2:2">
      <c r="B51" t="s">
        <v>15</v>
      </c>
    </row>
    <row r="52" spans="2:2">
      <c r="B52" t="s">
        <v>11</v>
      </c>
    </row>
    <row r="53" spans="2:2">
      <c r="B53" t="s">
        <v>1427</v>
      </c>
    </row>
    <row r="54" spans="2:2">
      <c r="B54" t="s">
        <v>980</v>
      </c>
    </row>
    <row r="55" spans="2:2">
      <c r="B55" t="s">
        <v>1050</v>
      </c>
    </row>
    <row r="56" spans="2:2">
      <c r="B56" t="s">
        <v>159</v>
      </c>
    </row>
    <row r="57" spans="2:2" hidden="1"/>
    <row r="58" spans="2:2" hidden="1"/>
    <row r="59" spans="2:2">
      <c r="B59" t="s">
        <v>160</v>
      </c>
    </row>
    <row r="60" spans="2:2" hidden="1"/>
    <row r="61" spans="2:2" hidden="1"/>
    <row r="62" spans="2:2" hidden="1"/>
    <row r="63" spans="2:2">
      <c r="B63" t="s">
        <v>1429</v>
      </c>
    </row>
    <row r="64" spans="2:2">
      <c r="B64" t="s">
        <v>1041</v>
      </c>
    </row>
    <row r="65" spans="2:2" hidden="1"/>
    <row r="66" spans="2:2">
      <c r="B66" t="s">
        <v>1428</v>
      </c>
    </row>
    <row r="67" spans="2:2">
      <c r="B67" t="s">
        <v>1145</v>
      </c>
    </row>
    <row r="68" spans="2:2">
      <c r="B68" t="s">
        <v>1398</v>
      </c>
    </row>
    <row r="69" spans="2:2" hidden="1"/>
    <row r="70" spans="2:2">
      <c r="B70" t="s">
        <v>1407</v>
      </c>
    </row>
    <row r="71" spans="2:2" hidden="1"/>
    <row r="72" spans="2:2">
      <c r="B72" t="s">
        <v>71</v>
      </c>
    </row>
    <row r="73" spans="2:2" hidden="1"/>
    <row r="74" spans="2:2">
      <c r="B74" t="s">
        <v>970</v>
      </c>
    </row>
    <row r="75" spans="2:2">
      <c r="B75" t="s">
        <v>1590</v>
      </c>
    </row>
    <row r="76" spans="2:2">
      <c r="B76" t="s">
        <v>527</v>
      </c>
    </row>
    <row r="77" spans="2:2" hidden="1"/>
    <row r="78" spans="2:2" hidden="1"/>
    <row r="79" spans="2:2">
      <c r="B79" t="s">
        <v>1403</v>
      </c>
    </row>
    <row r="80" spans="2:2" hidden="1"/>
    <row r="81" spans="2:2" hidden="1"/>
    <row r="82" spans="2:2" hidden="1"/>
    <row r="83" spans="2:2">
      <c r="B83" t="s">
        <v>1454</v>
      </c>
    </row>
    <row r="84" spans="2:2">
      <c r="B84" t="s">
        <v>1600</v>
      </c>
    </row>
    <row r="85" spans="2:2">
      <c r="B85" t="s">
        <v>1445</v>
      </c>
    </row>
    <row r="86" spans="2:2">
      <c r="B86" t="s">
        <v>1591</v>
      </c>
    </row>
    <row r="87" spans="2:2" hidden="1"/>
    <row r="88" spans="2:2">
      <c r="B88" t="s">
        <v>1592</v>
      </c>
    </row>
    <row r="89" spans="2:2">
      <c r="B89" t="s">
        <v>1434</v>
      </c>
    </row>
    <row r="90" spans="2:2">
      <c r="B90" t="s">
        <v>34</v>
      </c>
    </row>
    <row r="91" spans="2:2">
      <c r="B91" t="s">
        <v>18</v>
      </c>
    </row>
    <row r="92" spans="2:2">
      <c r="B92" t="s">
        <v>1593</v>
      </c>
    </row>
    <row r="93" spans="2:2">
      <c r="B93" t="s">
        <v>1594</v>
      </c>
    </row>
    <row r="94" spans="2:2">
      <c r="B94" t="s">
        <v>1010</v>
      </c>
    </row>
    <row r="95" spans="2:2" hidden="1"/>
    <row r="96" spans="2:2">
      <c r="B96" t="s">
        <v>1081</v>
      </c>
    </row>
    <row r="97" spans="2:2">
      <c r="B97" t="s">
        <v>1436</v>
      </c>
    </row>
    <row r="98" spans="2:2">
      <c r="B98" t="s">
        <v>1604</v>
      </c>
    </row>
    <row r="99" spans="2:2">
      <c r="B99" t="s">
        <v>1457</v>
      </c>
    </row>
    <row r="100" spans="2:2">
      <c r="B100" t="s">
        <v>1447</v>
      </c>
    </row>
    <row r="101" spans="2:2">
      <c r="B101" t="s">
        <v>1606</v>
      </c>
    </row>
    <row r="102" spans="2:2">
      <c r="B102" t="s">
        <v>1595</v>
      </c>
    </row>
    <row r="103" spans="2:2">
      <c r="B103" t="s">
        <v>1452</v>
      </c>
    </row>
    <row r="104" spans="2:2" hidden="1"/>
    <row r="105" spans="2:2">
      <c r="B105" t="s">
        <v>1596</v>
      </c>
    </row>
    <row r="106" spans="2:2">
      <c r="B106" t="s">
        <v>531</v>
      </c>
    </row>
    <row r="107" spans="2:2">
      <c r="B107" t="s">
        <v>1066</v>
      </c>
    </row>
    <row r="108" spans="2:2">
      <c r="B108" t="s">
        <v>1217</v>
      </c>
    </row>
    <row r="109" spans="2:2" hidden="1"/>
    <row r="110" spans="2:2">
      <c r="B110" t="s">
        <v>26</v>
      </c>
    </row>
    <row r="111" spans="2:2">
      <c r="B111" t="s">
        <v>1052</v>
      </c>
    </row>
    <row r="112" spans="2:2">
      <c r="B112" t="s">
        <v>145</v>
      </c>
    </row>
    <row r="113" spans="2:2">
      <c r="B113" t="s">
        <v>144</v>
      </c>
    </row>
    <row r="114" spans="2:2">
      <c r="B114" t="s">
        <v>1598</v>
      </c>
    </row>
    <row r="115" spans="2:2">
      <c r="B115" t="s">
        <v>143</v>
      </c>
    </row>
    <row r="116" spans="2:2">
      <c r="B116" t="s">
        <v>143</v>
      </c>
    </row>
    <row r="117" spans="2:2">
      <c r="B117" t="s">
        <v>1392</v>
      </c>
    </row>
    <row r="118" spans="2:2" hidden="1"/>
    <row r="119" spans="2:2" hidden="1"/>
    <row r="120" spans="2:2" hidden="1"/>
    <row r="121" spans="2:2">
      <c r="B121" t="s">
        <v>1395</v>
      </c>
    </row>
    <row r="122" spans="2:2">
      <c r="B122" t="s">
        <v>1446</v>
      </c>
    </row>
    <row r="123" spans="2:2">
      <c r="B123" t="s">
        <v>1389</v>
      </c>
    </row>
    <row r="124" spans="2:2" hidden="1"/>
    <row r="125" spans="2:2" hidden="1"/>
    <row r="126" spans="2:2">
      <c r="B126" t="s">
        <v>1439</v>
      </c>
    </row>
    <row r="127" spans="2:2" hidden="1"/>
    <row r="128" spans="2:2" hidden="1"/>
    <row r="129" spans="2:2" hidden="1"/>
    <row r="130" spans="2:2">
      <c r="B130" t="s">
        <v>1440</v>
      </c>
    </row>
    <row r="131" spans="2:2">
      <c r="B131" t="s">
        <v>1456</v>
      </c>
    </row>
    <row r="132" spans="2:2">
      <c r="B132" t="s">
        <v>1601</v>
      </c>
    </row>
    <row r="133" spans="2:2">
      <c r="B133" t="s">
        <v>29</v>
      </c>
    </row>
    <row r="134" spans="2:2">
      <c r="B134" t="s">
        <v>987</v>
      </c>
    </row>
    <row r="135" spans="2:2">
      <c r="B135" t="s">
        <v>517</v>
      </c>
    </row>
    <row r="136" spans="2:2">
      <c r="B136" t="s">
        <v>126</v>
      </c>
    </row>
    <row r="137" spans="2:2" hidden="1"/>
    <row r="138" spans="2:2" hidden="1"/>
  </sheetData>
  <autoFilter ref="B2:B138">
    <filterColumn colId="0">
      <customFilters>
        <customFilter operator="notEqual" val=" "/>
      </customFilters>
    </filterColumn>
  </autoFilter>
  <sortState ref="B2:B138">
    <sortCondition ref="B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H92"/>
  <sheetViews>
    <sheetView topLeftCell="A47" workbookViewId="0">
      <selection activeCell="B87" activeCellId="1" sqref="B81 B87:B91"/>
    </sheetView>
  </sheetViews>
  <sheetFormatPr defaultRowHeight="15"/>
  <cols>
    <col min="2" max="2" width="42.7109375" bestFit="1" customWidth="1"/>
    <col min="7" max="7" width="19.42578125" bestFit="1" customWidth="1"/>
    <col min="8" max="8" width="59.140625" bestFit="1" customWidth="1"/>
  </cols>
  <sheetData>
    <row r="2" spans="2:8">
      <c r="B2" s="200" t="s">
        <v>1449</v>
      </c>
      <c r="G2" s="218" t="s">
        <v>1640</v>
      </c>
      <c r="H2" s="215" t="s">
        <v>1608</v>
      </c>
    </row>
    <row r="3" spans="2:8">
      <c r="B3" s="200" t="s">
        <v>1391</v>
      </c>
      <c r="H3" s="215" t="s">
        <v>1609</v>
      </c>
    </row>
    <row r="4" spans="2:8">
      <c r="B4" t="s">
        <v>1583</v>
      </c>
      <c r="H4" s="215" t="s">
        <v>1610</v>
      </c>
    </row>
    <row r="5" spans="2:8">
      <c r="B5" t="s">
        <v>1414</v>
      </c>
      <c r="H5" s="215" t="s">
        <v>1611</v>
      </c>
    </row>
    <row r="6" spans="2:8">
      <c r="B6" t="s">
        <v>1451</v>
      </c>
      <c r="H6" s="215" t="s">
        <v>1612</v>
      </c>
    </row>
    <row r="7" spans="2:8">
      <c r="B7" s="202" t="s">
        <v>132</v>
      </c>
      <c r="H7" s="215" t="s">
        <v>1613</v>
      </c>
    </row>
    <row r="8" spans="2:8">
      <c r="B8" t="s">
        <v>1603</v>
      </c>
      <c r="H8" s="215" t="s">
        <v>1614</v>
      </c>
    </row>
    <row r="9" spans="2:8">
      <c r="B9" t="s">
        <v>973</v>
      </c>
      <c r="H9" s="215" t="s">
        <v>1615</v>
      </c>
    </row>
    <row r="10" spans="2:8">
      <c r="B10" t="s">
        <v>1417</v>
      </c>
      <c r="H10" s="215" t="s">
        <v>1616</v>
      </c>
    </row>
    <row r="11" spans="2:8">
      <c r="B11" t="s">
        <v>1153</v>
      </c>
    </row>
    <row r="12" spans="2:8">
      <c r="B12" t="s">
        <v>1585</v>
      </c>
    </row>
    <row r="13" spans="2:8">
      <c r="B13" t="s">
        <v>1584</v>
      </c>
      <c r="G13" s="216" t="s">
        <v>1645</v>
      </c>
      <c r="H13" s="216" t="s">
        <v>132</v>
      </c>
    </row>
    <row r="14" spans="2:8">
      <c r="B14" t="s">
        <v>1586</v>
      </c>
      <c r="H14" s="217" t="s">
        <v>700</v>
      </c>
    </row>
    <row r="15" spans="2:8">
      <c r="B15" t="s">
        <v>623</v>
      </c>
      <c r="H15" s="216" t="s">
        <v>126</v>
      </c>
    </row>
    <row r="16" spans="2:8">
      <c r="B16" s="207" t="s">
        <v>1421</v>
      </c>
      <c r="H16" s="203"/>
    </row>
    <row r="17" spans="2:8">
      <c r="B17" s="207" t="s">
        <v>1422</v>
      </c>
      <c r="G17" s="220" t="s">
        <v>1624</v>
      </c>
      <c r="H17" s="220" t="s">
        <v>1622</v>
      </c>
    </row>
    <row r="18" spans="2:8" ht="15.75">
      <c r="B18" s="207" t="s">
        <v>1385</v>
      </c>
      <c r="H18" s="219" t="s">
        <v>1617</v>
      </c>
    </row>
    <row r="19" spans="2:8" ht="15.75">
      <c r="B19" s="207" t="s">
        <v>1409</v>
      </c>
      <c r="H19" s="213" t="s">
        <v>1618</v>
      </c>
    </row>
    <row r="20" spans="2:8" ht="15.75">
      <c r="B20" s="207" t="s">
        <v>1599</v>
      </c>
      <c r="H20" s="213" t="s">
        <v>1619</v>
      </c>
    </row>
    <row r="21" spans="2:8" ht="15.75">
      <c r="B21" t="s">
        <v>1582</v>
      </c>
      <c r="H21" s="213" t="s">
        <v>1620</v>
      </c>
    </row>
    <row r="22" spans="2:8" ht="15.75">
      <c r="B22" t="s">
        <v>1602</v>
      </c>
      <c r="H22" s="213" t="s">
        <v>1621</v>
      </c>
    </row>
    <row r="23" spans="2:8">
      <c r="B23" s="209" t="s">
        <v>1019</v>
      </c>
    </row>
    <row r="24" spans="2:8">
      <c r="B24" s="207" t="s">
        <v>1423</v>
      </c>
    </row>
    <row r="25" spans="2:8" ht="15.75">
      <c r="B25" t="s">
        <v>977</v>
      </c>
      <c r="G25" s="221" t="s">
        <v>1625</v>
      </c>
      <c r="H25" s="206" t="s">
        <v>1623</v>
      </c>
    </row>
    <row r="26" spans="2:8">
      <c r="B26" t="s">
        <v>23</v>
      </c>
      <c r="H26" s="221" t="s">
        <v>1041</v>
      </c>
    </row>
    <row r="27" spans="2:8">
      <c r="B27" t="s">
        <v>1605</v>
      </c>
      <c r="H27" s="221" t="s">
        <v>1626</v>
      </c>
    </row>
    <row r="28" spans="2:8">
      <c r="B28" t="s">
        <v>1443</v>
      </c>
      <c r="H28" s="221" t="s">
        <v>1641</v>
      </c>
    </row>
    <row r="29" spans="2:8">
      <c r="B29" t="s">
        <v>75</v>
      </c>
    </row>
    <row r="30" spans="2:8">
      <c r="B30" t="s">
        <v>1453</v>
      </c>
    </row>
    <row r="31" spans="2:8">
      <c r="B31" t="s">
        <v>1607</v>
      </c>
      <c r="H31" s="203"/>
    </row>
    <row r="32" spans="2:8">
      <c r="B32" t="s">
        <v>1597</v>
      </c>
    </row>
    <row r="33" spans="2:8">
      <c r="B33" s="205" t="s">
        <v>700</v>
      </c>
    </row>
    <row r="34" spans="2:8">
      <c r="B34" t="s">
        <v>1425</v>
      </c>
      <c r="G34" s="222" t="s">
        <v>1627</v>
      </c>
      <c r="H34" s="222" t="s">
        <v>1452</v>
      </c>
    </row>
    <row r="35" spans="2:8">
      <c r="B35" t="s">
        <v>1588</v>
      </c>
      <c r="H35" s="222" t="s">
        <v>1628</v>
      </c>
    </row>
    <row r="36" spans="2:8" ht="15.75">
      <c r="B36" t="s">
        <v>1381</v>
      </c>
      <c r="H36" s="206"/>
    </row>
    <row r="37" spans="2:8" ht="15.75">
      <c r="B37" t="s">
        <v>1589</v>
      </c>
      <c r="H37" s="206"/>
    </row>
    <row r="38" spans="2:8">
      <c r="B38" t="s">
        <v>1638</v>
      </c>
    </row>
    <row r="39" spans="2:8">
      <c r="B39" t="s">
        <v>1048</v>
      </c>
      <c r="G39" s="224" t="s">
        <v>1630</v>
      </c>
      <c r="H39" s="224" t="s">
        <v>1019</v>
      </c>
    </row>
    <row r="40" spans="2:8" ht="17.25">
      <c r="B40" t="s">
        <v>1085</v>
      </c>
      <c r="H40" s="223" t="s">
        <v>1629</v>
      </c>
    </row>
    <row r="41" spans="2:8">
      <c r="B41" t="s">
        <v>1</v>
      </c>
      <c r="H41" t="s">
        <v>1643</v>
      </c>
    </row>
    <row r="42" spans="2:8">
      <c r="B42" t="s">
        <v>15</v>
      </c>
      <c r="H42" t="s">
        <v>1644</v>
      </c>
    </row>
    <row r="43" spans="2:8">
      <c r="B43" t="s">
        <v>11</v>
      </c>
      <c r="G43" s="199" t="s">
        <v>1631</v>
      </c>
      <c r="H43" s="199" t="s">
        <v>1217</v>
      </c>
    </row>
    <row r="44" spans="2:8">
      <c r="B44" t="s">
        <v>1427</v>
      </c>
    </row>
    <row r="45" spans="2:8">
      <c r="B45" t="s">
        <v>980</v>
      </c>
      <c r="G45" s="225" t="s">
        <v>1633</v>
      </c>
      <c r="H45" s="225" t="s">
        <v>71</v>
      </c>
    </row>
    <row r="46" spans="2:8">
      <c r="B46" s="208" t="s">
        <v>1641</v>
      </c>
      <c r="H46" s="225" t="s">
        <v>970</v>
      </c>
    </row>
    <row r="47" spans="2:8">
      <c r="B47" s="214" t="s">
        <v>159</v>
      </c>
      <c r="H47" s="225" t="s">
        <v>1590</v>
      </c>
    </row>
    <row r="48" spans="2:8" ht="17.25">
      <c r="B48" s="214" t="s">
        <v>160</v>
      </c>
      <c r="H48" s="201" t="s">
        <v>1632</v>
      </c>
    </row>
    <row r="49" spans="2:8" ht="17.25">
      <c r="B49" t="s">
        <v>1429</v>
      </c>
      <c r="H49" s="201" t="s">
        <v>1632</v>
      </c>
    </row>
    <row r="50" spans="2:8" ht="17.25">
      <c r="B50" s="208" t="s">
        <v>1041</v>
      </c>
      <c r="H50" s="201" t="s">
        <v>1632</v>
      </c>
    </row>
    <row r="51" spans="2:8" ht="17.25">
      <c r="B51" t="s">
        <v>1428</v>
      </c>
      <c r="H51" s="201"/>
    </row>
    <row r="52" spans="2:8">
      <c r="B52" s="210" t="s">
        <v>1622</v>
      </c>
    </row>
    <row r="53" spans="2:8">
      <c r="B53" t="s">
        <v>1407</v>
      </c>
    </row>
    <row r="54" spans="2:8">
      <c r="B54" s="204" t="s">
        <v>71</v>
      </c>
      <c r="G54" s="226" t="s">
        <v>1634</v>
      </c>
      <c r="H54" s="226" t="s">
        <v>1421</v>
      </c>
    </row>
    <row r="55" spans="2:8">
      <c r="B55" s="204" t="s">
        <v>970</v>
      </c>
      <c r="H55" s="226" t="s">
        <v>1422</v>
      </c>
    </row>
    <row r="56" spans="2:8">
      <c r="B56" s="204" t="s">
        <v>1590</v>
      </c>
      <c r="H56" s="226" t="s">
        <v>1385</v>
      </c>
    </row>
    <row r="57" spans="2:8">
      <c r="B57" t="s">
        <v>527</v>
      </c>
      <c r="H57" s="226" t="s">
        <v>1409</v>
      </c>
    </row>
    <row r="58" spans="2:8">
      <c r="B58" s="212" t="s">
        <v>1600</v>
      </c>
      <c r="H58" s="226" t="s">
        <v>1599</v>
      </c>
    </row>
    <row r="59" spans="2:8">
      <c r="B59" s="212" t="s">
        <v>1445</v>
      </c>
      <c r="H59" s="226" t="s">
        <v>1423</v>
      </c>
    </row>
    <row r="60" spans="2:8">
      <c r="B60" s="212" t="s">
        <v>1403</v>
      </c>
    </row>
    <row r="61" spans="2:8">
      <c r="B61" t="s">
        <v>1592</v>
      </c>
      <c r="G61" s="227" t="s">
        <v>1639</v>
      </c>
      <c r="H61" s="227" t="s">
        <v>1600</v>
      </c>
    </row>
    <row r="62" spans="2:8">
      <c r="B62" t="s">
        <v>1434</v>
      </c>
      <c r="H62" s="227" t="s">
        <v>1445</v>
      </c>
    </row>
    <row r="63" spans="2:8">
      <c r="B63" t="s">
        <v>34</v>
      </c>
      <c r="H63" s="227" t="s">
        <v>1403</v>
      </c>
    </row>
    <row r="64" spans="2:8">
      <c r="B64" t="s">
        <v>18</v>
      </c>
    </row>
    <row r="65" spans="2:8">
      <c r="B65" t="s">
        <v>1593</v>
      </c>
    </row>
    <row r="66" spans="2:8">
      <c r="B66" t="s">
        <v>1594</v>
      </c>
      <c r="G66" s="228" t="s">
        <v>1642</v>
      </c>
      <c r="H66" s="228" t="s">
        <v>159</v>
      </c>
    </row>
    <row r="67" spans="2:8">
      <c r="B67" t="s">
        <v>1081</v>
      </c>
      <c r="G67" s="214"/>
      <c r="H67" s="228" t="s">
        <v>160</v>
      </c>
    </row>
    <row r="68" spans="2:8">
      <c r="B68" t="s">
        <v>1436</v>
      </c>
    </row>
    <row r="69" spans="2:8">
      <c r="B69" t="s">
        <v>1604</v>
      </c>
    </row>
    <row r="70" spans="2:8">
      <c r="B70" s="200" t="s">
        <v>1457</v>
      </c>
    </row>
    <row r="71" spans="2:8">
      <c r="B71" s="200" t="s">
        <v>1595</v>
      </c>
    </row>
    <row r="72" spans="2:8">
      <c r="B72" s="211" t="s">
        <v>1452</v>
      </c>
    </row>
    <row r="73" spans="2:8">
      <c r="B73" s="211" t="s">
        <v>1628</v>
      </c>
    </row>
    <row r="74" spans="2:8">
      <c r="B74" t="s">
        <v>531</v>
      </c>
    </row>
    <row r="75" spans="2:8">
      <c r="B75" t="s">
        <v>1066</v>
      </c>
    </row>
    <row r="76" spans="2:8">
      <c r="B76" s="199" t="s">
        <v>1217</v>
      </c>
    </row>
    <row r="77" spans="2:8">
      <c r="B77" t="s">
        <v>26</v>
      </c>
    </row>
    <row r="78" spans="2:8">
      <c r="B78" s="208" t="s">
        <v>1626</v>
      </c>
    </row>
    <row r="79" spans="2:8">
      <c r="B79" s="203" t="s">
        <v>144</v>
      </c>
    </row>
    <row r="80" spans="2:8">
      <c r="B80" t="s">
        <v>1598</v>
      </c>
    </row>
    <row r="81" spans="2:2">
      <c r="B81" t="s">
        <v>143</v>
      </c>
    </row>
    <row r="82" spans="2:2">
      <c r="B82" s="200" t="s">
        <v>1392</v>
      </c>
    </row>
    <row r="83" spans="2:2">
      <c r="B83" s="200" t="s">
        <v>1395</v>
      </c>
    </row>
    <row r="84" spans="2:2">
      <c r="B84" s="200" t="s">
        <v>1446</v>
      </c>
    </row>
    <row r="85" spans="2:2">
      <c r="B85" s="200" t="s">
        <v>1389</v>
      </c>
    </row>
    <row r="86" spans="2:2">
      <c r="B86" s="200" t="s">
        <v>1439</v>
      </c>
    </row>
    <row r="87" spans="2:2">
      <c r="B87" t="s">
        <v>1456</v>
      </c>
    </row>
    <row r="88" spans="2:2">
      <c r="B88" t="s">
        <v>1601</v>
      </c>
    </row>
    <row r="89" spans="2:2">
      <c r="B89" t="s">
        <v>29</v>
      </c>
    </row>
    <row r="90" spans="2:2">
      <c r="B90" t="s">
        <v>987</v>
      </c>
    </row>
    <row r="91" spans="2:2">
      <c r="B91" t="s">
        <v>517</v>
      </c>
    </row>
    <row r="92" spans="2:2">
      <c r="B92" s="202" t="s">
        <v>126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17"/>
  <sheetViews>
    <sheetView workbookViewId="0">
      <selection activeCell="B2" sqref="B2:B17"/>
    </sheetView>
  </sheetViews>
  <sheetFormatPr defaultRowHeight="15"/>
  <cols>
    <col min="2" max="2" width="40.28515625" bestFit="1" customWidth="1"/>
  </cols>
  <sheetData>
    <row r="2" spans="2:2">
      <c r="B2" t="s">
        <v>1176</v>
      </c>
    </row>
    <row r="3" spans="2:2">
      <c r="B3" t="s">
        <v>1635</v>
      </c>
    </row>
    <row r="4" spans="2:2">
      <c r="B4" t="s">
        <v>1180</v>
      </c>
    </row>
    <row r="5" spans="2:2">
      <c r="B5" t="s">
        <v>1182</v>
      </c>
    </row>
    <row r="6" spans="2:2">
      <c r="B6" t="s">
        <v>1184</v>
      </c>
    </row>
    <row r="7" spans="2:2">
      <c r="B7" t="s">
        <v>1170</v>
      </c>
    </row>
    <row r="8" spans="2:2">
      <c r="B8" t="s">
        <v>1174</v>
      </c>
    </row>
    <row r="9" spans="2:2">
      <c r="B9" t="s">
        <v>1180</v>
      </c>
    </row>
    <row r="10" spans="2:2">
      <c r="B10" t="s">
        <v>1189</v>
      </c>
    </row>
    <row r="11" spans="2:2">
      <c r="B11" t="s">
        <v>1192</v>
      </c>
    </row>
    <row r="12" spans="2:2">
      <c r="B12" t="s">
        <v>1636</v>
      </c>
    </row>
    <row r="13" spans="2:2">
      <c r="B13" t="s">
        <v>1389</v>
      </c>
    </row>
    <row r="14" spans="2:2">
      <c r="B14" t="s">
        <v>1428</v>
      </c>
    </row>
    <row r="15" spans="2:2">
      <c r="B15" t="s">
        <v>1638</v>
      </c>
    </row>
    <row r="16" spans="2:2">
      <c r="B16" t="s">
        <v>1120</v>
      </c>
    </row>
    <row r="17" spans="2:2">
      <c r="B17" t="s">
        <v>1637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C4:E68"/>
  <sheetViews>
    <sheetView workbookViewId="0">
      <selection activeCell="D4" sqref="D4:D13"/>
    </sheetView>
  </sheetViews>
  <sheetFormatPr defaultRowHeight="15"/>
  <cols>
    <col min="3" max="3" width="19.42578125" bestFit="1" customWidth="1"/>
    <col min="5" max="5" width="20.28515625" bestFit="1" customWidth="1"/>
  </cols>
  <sheetData>
    <row r="4" spans="3:5">
      <c r="C4" t="s">
        <v>1634</v>
      </c>
      <c r="D4" t="s">
        <v>1646</v>
      </c>
      <c r="E4" t="str">
        <f t="shared" ref="E4:E13" si="0">UPPER(TRIM(C4))</f>
        <v>BASHUDHARA GROUP</v>
      </c>
    </row>
    <row r="5" spans="3:5">
      <c r="C5" t="s">
        <v>1630</v>
      </c>
      <c r="D5" t="s">
        <v>1646</v>
      </c>
      <c r="E5" t="str">
        <f t="shared" si="0"/>
        <v>BEXIMCO</v>
      </c>
    </row>
    <row r="6" spans="3:5">
      <c r="C6" t="s">
        <v>1624</v>
      </c>
      <c r="D6" t="s">
        <v>1646</v>
      </c>
      <c r="E6" t="str">
        <f t="shared" si="0"/>
        <v>JAJ BHUIYAN GROUP</v>
      </c>
    </row>
    <row r="7" spans="3:5">
      <c r="C7" t="s">
        <v>1633</v>
      </c>
      <c r="D7" t="s">
        <v>1646</v>
      </c>
      <c r="E7" t="str">
        <f t="shared" si="0"/>
        <v>PACIFIC GROUP</v>
      </c>
    </row>
    <row r="8" spans="3:5">
      <c r="C8" t="s">
        <v>1639</v>
      </c>
      <c r="D8" t="s">
        <v>1646</v>
      </c>
      <c r="E8" t="str">
        <f t="shared" si="0"/>
        <v>PRIME GROUP</v>
      </c>
    </row>
    <row r="9" spans="3:5">
      <c r="C9" t="s">
        <v>1631</v>
      </c>
      <c r="D9" t="s">
        <v>1646</v>
      </c>
      <c r="E9" t="str">
        <f t="shared" si="0"/>
        <v>SALMA GROUP</v>
      </c>
    </row>
    <row r="10" spans="3:5">
      <c r="C10" t="s">
        <v>1627</v>
      </c>
      <c r="D10" t="s">
        <v>1646</v>
      </c>
      <c r="E10" t="str">
        <f t="shared" si="0"/>
        <v>SONALI GROUP</v>
      </c>
    </row>
    <row r="11" spans="3:5">
      <c r="C11" t="s">
        <v>1625</v>
      </c>
      <c r="D11" t="s">
        <v>1646</v>
      </c>
      <c r="E11" t="str">
        <f t="shared" si="0"/>
        <v>TANAKA GROUP</v>
      </c>
    </row>
    <row r="12" spans="3:5">
      <c r="C12" t="s">
        <v>1640</v>
      </c>
      <c r="D12" t="s">
        <v>1646</v>
      </c>
      <c r="E12" t="str">
        <f t="shared" si="0"/>
        <v>THERMAX GROUP</v>
      </c>
    </row>
    <row r="13" spans="3:5">
      <c r="C13" t="s">
        <v>1645</v>
      </c>
      <c r="D13" t="s">
        <v>1646</v>
      </c>
      <c r="E13" t="str">
        <f t="shared" si="0"/>
        <v>ZAKIA GROUP</v>
      </c>
    </row>
    <row r="68" spans="3:3">
      <c r="C68" t="s">
        <v>1642</v>
      </c>
    </row>
  </sheetData>
  <sortState ref="C4:E13">
    <sortCondition ref="C4:C1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19"/>
  <sheetViews>
    <sheetView tabSelected="1" topLeftCell="A10" workbookViewId="0">
      <selection activeCell="I11" sqref="I11"/>
    </sheetView>
  </sheetViews>
  <sheetFormatPr defaultRowHeight="15"/>
  <cols>
    <col min="1" max="1" width="3" style="379" bestFit="1" customWidth="1"/>
    <col min="2" max="2" width="11.7109375" style="379" bestFit="1" customWidth="1"/>
    <col min="3" max="3" width="17.85546875" style="379" customWidth="1"/>
    <col min="4" max="4" width="12.85546875" style="379" customWidth="1"/>
    <col min="5" max="5" width="13.7109375" style="379" bestFit="1" customWidth="1"/>
    <col min="6" max="6" width="31.7109375" style="379" bestFit="1" customWidth="1"/>
    <col min="7" max="7" width="18.42578125" style="379" bestFit="1" customWidth="1"/>
    <col min="8" max="8" width="16" style="379" bestFit="1" customWidth="1"/>
    <col min="9" max="9" width="19" style="379" bestFit="1" customWidth="1"/>
    <col min="10" max="10" width="21.5703125" style="379" bestFit="1" customWidth="1"/>
    <col min="11" max="11" width="19.28515625" style="379" bestFit="1" customWidth="1"/>
    <col min="12" max="12" width="21" style="379" bestFit="1" customWidth="1"/>
    <col min="13" max="14" width="24.42578125" style="379" customWidth="1"/>
    <col min="15" max="15" width="20.5703125" style="379" bestFit="1" customWidth="1"/>
    <col min="16" max="16" width="16.7109375" style="379" bestFit="1" customWidth="1"/>
    <col min="17" max="17" width="19.7109375" style="379" bestFit="1" customWidth="1"/>
    <col min="18" max="18" width="14" style="379" bestFit="1" customWidth="1"/>
    <col min="19" max="19" width="12" style="379" bestFit="1" customWidth="1"/>
    <col min="20" max="20" width="12.42578125" style="379" bestFit="1" customWidth="1"/>
    <col min="21" max="21" width="17.42578125" style="379" bestFit="1" customWidth="1"/>
    <col min="22" max="22" width="14.28515625" style="379" bestFit="1" customWidth="1"/>
    <col min="23" max="23" width="7.42578125" style="379" bestFit="1" customWidth="1"/>
    <col min="24" max="24" width="16.85546875" style="379" bestFit="1" customWidth="1"/>
    <col min="25" max="25" width="12.28515625" style="379" bestFit="1" customWidth="1"/>
    <col min="26" max="26" width="13.28515625" style="379" customWidth="1"/>
    <col min="27" max="27" width="8.140625" style="379" bestFit="1" customWidth="1"/>
    <col min="28" max="28" width="11.42578125" style="379" bestFit="1" customWidth="1"/>
    <col min="29" max="29" width="10.42578125" style="379" bestFit="1" customWidth="1"/>
    <col min="30" max="30" width="15.85546875" style="375" bestFit="1" customWidth="1"/>
    <col min="31" max="16384" width="9.140625" style="375"/>
  </cols>
  <sheetData>
    <row r="1" spans="1:30">
      <c r="A1" s="264" t="s">
        <v>175</v>
      </c>
      <c r="B1" s="264" t="s">
        <v>2656</v>
      </c>
      <c r="C1" s="264" t="s">
        <v>2680</v>
      </c>
      <c r="D1" s="264" t="s">
        <v>3243</v>
      </c>
      <c r="E1" s="264" t="s">
        <v>3239</v>
      </c>
      <c r="F1" s="264" t="s">
        <v>3223</v>
      </c>
      <c r="G1" s="264" t="s">
        <v>3224</v>
      </c>
      <c r="H1" s="264" t="s">
        <v>3237</v>
      </c>
      <c r="I1" s="264" t="s">
        <v>3225</v>
      </c>
      <c r="J1" s="264" t="s">
        <v>3226</v>
      </c>
      <c r="K1" s="264" t="s">
        <v>3227</v>
      </c>
      <c r="L1" s="264" t="s">
        <v>3228</v>
      </c>
      <c r="M1" s="264" t="s">
        <v>3229</v>
      </c>
      <c r="N1" s="264" t="s">
        <v>3245</v>
      </c>
      <c r="O1" s="264" t="s">
        <v>3230</v>
      </c>
      <c r="P1" s="264" t="s">
        <v>3231</v>
      </c>
      <c r="Q1" s="264" t="s">
        <v>2685</v>
      </c>
      <c r="R1" s="264" t="s">
        <v>2686</v>
      </c>
      <c r="S1" s="264" t="s">
        <v>2687</v>
      </c>
      <c r="T1" s="264" t="s">
        <v>185</v>
      </c>
      <c r="U1" s="264" t="s">
        <v>2688</v>
      </c>
      <c r="V1" s="264" t="s">
        <v>3232</v>
      </c>
      <c r="W1" s="264" t="s">
        <v>3238</v>
      </c>
      <c r="X1" s="264" t="s">
        <v>3246</v>
      </c>
      <c r="Y1" s="264" t="s">
        <v>2693</v>
      </c>
      <c r="Z1" s="264" t="s">
        <v>3262</v>
      </c>
      <c r="AA1" s="264" t="s">
        <v>187</v>
      </c>
      <c r="AB1" s="264" t="s">
        <v>2695</v>
      </c>
      <c r="AC1" s="264" t="s">
        <v>3233</v>
      </c>
      <c r="AD1" s="185" t="s">
        <v>2697</v>
      </c>
    </row>
    <row r="2" spans="1:30" ht="120">
      <c r="A2" s="378">
        <v>66</v>
      </c>
      <c r="B2" s="264">
        <v>101</v>
      </c>
      <c r="C2" s="264" t="s">
        <v>3234</v>
      </c>
      <c r="D2" s="264" t="s">
        <v>3244</v>
      </c>
      <c r="E2" s="264" t="s">
        <v>3240</v>
      </c>
      <c r="F2" s="378" t="s">
        <v>3205</v>
      </c>
      <c r="G2" s="382">
        <v>45180</v>
      </c>
      <c r="H2" s="382">
        <v>45173</v>
      </c>
      <c r="I2" s="378">
        <v>408200000</v>
      </c>
      <c r="J2" s="264">
        <v>3</v>
      </c>
      <c r="K2" s="378">
        <v>77900000</v>
      </c>
      <c r="L2" s="382">
        <v>45446</v>
      </c>
      <c r="M2" s="264">
        <v>6</v>
      </c>
      <c r="N2" s="264" t="s">
        <v>3241</v>
      </c>
      <c r="O2" s="382">
        <v>45903</v>
      </c>
      <c r="P2" s="378" t="s">
        <v>3242</v>
      </c>
      <c r="Q2" s="378">
        <v>421966031.89999998</v>
      </c>
      <c r="R2" s="264"/>
      <c r="S2" s="378">
        <v>421966031.89999998</v>
      </c>
      <c r="T2" s="378" t="s">
        <v>73</v>
      </c>
      <c r="U2" s="264"/>
      <c r="V2" s="264">
        <v>0</v>
      </c>
      <c r="W2" s="264" t="s">
        <v>1248</v>
      </c>
      <c r="X2" s="264" t="s">
        <v>3255</v>
      </c>
      <c r="Y2" s="264">
        <v>4006</v>
      </c>
      <c r="Z2" s="264" t="s">
        <v>3264</v>
      </c>
      <c r="AA2" s="264"/>
      <c r="AB2" s="264"/>
      <c r="AC2" s="264"/>
      <c r="AD2" s="374"/>
    </row>
    <row r="3" spans="1:30" ht="120">
      <c r="A3" s="378">
        <v>65</v>
      </c>
      <c r="B3" s="264">
        <v>102</v>
      </c>
      <c r="C3" s="264" t="s">
        <v>3247</v>
      </c>
      <c r="D3" s="264" t="s">
        <v>3244</v>
      </c>
      <c r="E3" s="264" t="s">
        <v>3248</v>
      </c>
      <c r="F3" s="378" t="s">
        <v>3249</v>
      </c>
      <c r="G3" s="382">
        <v>45180</v>
      </c>
      <c r="H3" s="382">
        <v>45173</v>
      </c>
      <c r="I3" s="264">
        <v>507700000</v>
      </c>
      <c r="J3" s="264">
        <v>3</v>
      </c>
      <c r="K3" s="264">
        <v>96900000</v>
      </c>
      <c r="L3" s="382">
        <v>45446</v>
      </c>
      <c r="M3" s="264">
        <v>6</v>
      </c>
      <c r="N3" s="264" t="s">
        <v>3241</v>
      </c>
      <c r="O3" s="382">
        <v>45903</v>
      </c>
      <c r="P3" s="378" t="s">
        <v>3242</v>
      </c>
      <c r="Q3" s="378">
        <v>20230911</v>
      </c>
      <c r="R3" s="264"/>
      <c r="S3" s="378">
        <v>519793577.89999998</v>
      </c>
      <c r="T3" s="378" t="s">
        <v>73</v>
      </c>
      <c r="U3" s="264" t="s">
        <v>3274</v>
      </c>
      <c r="V3" s="264">
        <v>0</v>
      </c>
      <c r="W3" s="264" t="s">
        <v>1248</v>
      </c>
      <c r="X3" s="264" t="s">
        <v>3255</v>
      </c>
      <c r="Y3" s="264">
        <v>4006</v>
      </c>
      <c r="Z3" s="264" t="s">
        <v>3264</v>
      </c>
      <c r="AA3" s="264"/>
      <c r="AB3" s="264"/>
      <c r="AC3" s="264"/>
      <c r="AD3" s="374"/>
    </row>
    <row r="4" spans="1:30" ht="120">
      <c r="A4" s="264">
        <v>76</v>
      </c>
      <c r="B4" s="264">
        <v>38</v>
      </c>
      <c r="C4" s="264" t="s">
        <v>3251</v>
      </c>
      <c r="D4" s="264" t="s">
        <v>3244</v>
      </c>
      <c r="E4" s="378" t="s">
        <v>3260</v>
      </c>
      <c r="F4" s="378" t="s">
        <v>3253</v>
      </c>
      <c r="G4" s="382">
        <v>45470</v>
      </c>
      <c r="H4" s="383">
        <v>45456</v>
      </c>
      <c r="I4" s="378">
        <v>569700000</v>
      </c>
      <c r="J4" s="378">
        <v>3</v>
      </c>
      <c r="K4" s="264">
        <v>95047906</v>
      </c>
      <c r="L4" s="382">
        <v>45609</v>
      </c>
      <c r="M4" s="378">
        <v>3</v>
      </c>
      <c r="N4" s="264" t="s">
        <v>3252</v>
      </c>
      <c r="O4" s="382">
        <v>46155</v>
      </c>
      <c r="P4" s="378" t="s">
        <v>3242</v>
      </c>
      <c r="Q4" s="264"/>
      <c r="R4" s="264"/>
      <c r="S4" s="378">
        <v>621334397</v>
      </c>
      <c r="T4" s="378" t="s">
        <v>48</v>
      </c>
      <c r="U4" s="264" t="s">
        <v>3273</v>
      </c>
      <c r="V4" s="264">
        <v>0</v>
      </c>
      <c r="W4" s="264"/>
      <c r="X4" s="264" t="s">
        <v>3257</v>
      </c>
      <c r="Y4" s="264">
        <v>4006</v>
      </c>
      <c r="Z4" s="385">
        <v>0.129</v>
      </c>
      <c r="AA4" s="264"/>
      <c r="AB4" s="264"/>
      <c r="AC4" s="264"/>
      <c r="AD4" s="374"/>
    </row>
    <row r="5" spans="1:30" ht="120">
      <c r="A5" s="386">
        <v>77</v>
      </c>
      <c r="B5" s="387">
        <v>62</v>
      </c>
      <c r="C5" s="387" t="s">
        <v>3221</v>
      </c>
      <c r="D5" s="388" t="s">
        <v>3254</v>
      </c>
      <c r="E5" s="387" t="s">
        <v>3259</v>
      </c>
      <c r="F5" s="386" t="s">
        <v>3258</v>
      </c>
      <c r="G5" s="389">
        <v>45410</v>
      </c>
      <c r="H5" s="390">
        <v>45386</v>
      </c>
      <c r="I5" s="386">
        <v>173100000</v>
      </c>
      <c r="J5" s="386">
        <v>3</v>
      </c>
      <c r="K5" s="391">
        <v>29091668</v>
      </c>
      <c r="L5" s="389">
        <v>45575</v>
      </c>
      <c r="M5" s="386">
        <v>3</v>
      </c>
      <c r="N5" s="387" t="s">
        <v>3252</v>
      </c>
      <c r="O5" s="389">
        <v>46140</v>
      </c>
      <c r="P5" s="387" t="s">
        <v>3261</v>
      </c>
      <c r="Q5" s="375">
        <v>197658646.83000001</v>
      </c>
      <c r="R5" s="387"/>
      <c r="S5" s="375">
        <v>197658646.83000001</v>
      </c>
      <c r="T5" s="386" t="s">
        <v>48</v>
      </c>
      <c r="U5" s="392" t="s">
        <v>3271</v>
      </c>
      <c r="V5" s="387">
        <v>0</v>
      </c>
      <c r="W5" s="387" t="s">
        <v>298</v>
      </c>
      <c r="X5" s="387" t="s">
        <v>3256</v>
      </c>
      <c r="Y5" s="387">
        <v>4006</v>
      </c>
      <c r="Z5" s="387" t="s">
        <v>3263</v>
      </c>
      <c r="AA5" s="387"/>
      <c r="AB5" s="387"/>
      <c r="AC5" s="387"/>
      <c r="AD5" s="374"/>
    </row>
    <row r="6" spans="1:30" ht="120">
      <c r="A6" s="376">
        <v>74</v>
      </c>
      <c r="B6" s="374">
        <v>45</v>
      </c>
      <c r="C6" s="264" t="s">
        <v>3270</v>
      </c>
      <c r="D6" s="384" t="s">
        <v>3254</v>
      </c>
      <c r="E6" s="374" t="s">
        <v>3269</v>
      </c>
      <c r="F6" s="376" t="s">
        <v>3265</v>
      </c>
      <c r="G6" s="382">
        <v>45330</v>
      </c>
      <c r="H6" s="377">
        <v>45320</v>
      </c>
      <c r="I6" s="376">
        <v>139100000</v>
      </c>
      <c r="J6" s="264">
        <v>3</v>
      </c>
      <c r="K6" s="264">
        <v>26000000</v>
      </c>
      <c r="L6" s="383">
        <v>45512</v>
      </c>
      <c r="M6" s="264">
        <v>3</v>
      </c>
      <c r="N6" s="264" t="s">
        <v>3268</v>
      </c>
      <c r="O6" s="383">
        <v>46030</v>
      </c>
      <c r="P6" s="264" t="s">
        <v>3261</v>
      </c>
      <c r="Q6" s="380">
        <v>163648947</v>
      </c>
      <c r="R6" s="264"/>
      <c r="S6" s="376">
        <v>146682808.65000001</v>
      </c>
      <c r="T6" s="264" t="s">
        <v>48</v>
      </c>
      <c r="U6" s="264" t="s">
        <v>3272</v>
      </c>
      <c r="V6" s="264">
        <v>1</v>
      </c>
      <c r="W6" s="264" t="s">
        <v>1248</v>
      </c>
      <c r="X6" s="264" t="s">
        <v>3267</v>
      </c>
      <c r="Y6" s="264">
        <v>4006</v>
      </c>
      <c r="Z6" s="264" t="s">
        <v>3266</v>
      </c>
      <c r="AA6" s="264"/>
      <c r="AB6" s="264"/>
      <c r="AC6" s="264"/>
      <c r="AD6" s="374"/>
    </row>
    <row r="7" spans="1:30" ht="120">
      <c r="A7" s="380">
        <v>50</v>
      </c>
      <c r="B7" s="375">
        <v>11</v>
      </c>
      <c r="C7" s="264" t="s">
        <v>3278</v>
      </c>
      <c r="D7" s="384" t="s">
        <v>3254</v>
      </c>
      <c r="E7" s="264" t="s">
        <v>3279</v>
      </c>
      <c r="F7" s="380" t="s">
        <v>3190</v>
      </c>
      <c r="G7" s="381">
        <v>45196</v>
      </c>
      <c r="H7" s="383">
        <v>45194</v>
      </c>
      <c r="I7" s="264">
        <v>1316100000</v>
      </c>
      <c r="J7" s="264">
        <v>3</v>
      </c>
      <c r="K7" s="264">
        <v>26000000</v>
      </c>
      <c r="L7" s="383">
        <v>45468</v>
      </c>
      <c r="M7" s="264">
        <v>6</v>
      </c>
      <c r="N7" s="264" t="s">
        <v>3281</v>
      </c>
      <c r="O7" s="383">
        <v>47294</v>
      </c>
      <c r="P7" s="264" t="s">
        <v>3261</v>
      </c>
      <c r="Q7" s="264"/>
      <c r="R7" s="264"/>
      <c r="S7" s="264"/>
      <c r="T7" s="264" t="s">
        <v>17</v>
      </c>
      <c r="U7" s="264"/>
      <c r="V7" s="264">
        <v>0</v>
      </c>
      <c r="W7" s="264"/>
      <c r="X7" s="264" t="s">
        <v>3280</v>
      </c>
      <c r="Y7" s="264">
        <v>4006</v>
      </c>
      <c r="Z7" s="264" t="s">
        <v>3264</v>
      </c>
      <c r="AA7" s="264"/>
      <c r="AB7" s="264"/>
      <c r="AC7" s="264"/>
      <c r="AD7" s="374"/>
    </row>
    <row r="8" spans="1:30" ht="120">
      <c r="A8" s="393">
        <v>51</v>
      </c>
      <c r="B8" s="374">
        <v>12</v>
      </c>
      <c r="C8" s="264" t="s">
        <v>3282</v>
      </c>
      <c r="D8" s="384" t="s">
        <v>3254</v>
      </c>
      <c r="E8" s="264" t="s">
        <v>3286</v>
      </c>
      <c r="F8" s="380" t="s">
        <v>3288</v>
      </c>
      <c r="G8" s="381">
        <v>45196</v>
      </c>
      <c r="H8" s="383">
        <v>45194</v>
      </c>
      <c r="I8" s="264">
        <v>441600000</v>
      </c>
      <c r="J8" s="380">
        <v>3</v>
      </c>
      <c r="K8" s="380">
        <v>33300000</v>
      </c>
      <c r="L8" s="383">
        <v>45468</v>
      </c>
      <c r="M8" s="264">
        <v>6</v>
      </c>
      <c r="N8" s="264" t="s">
        <v>3283</v>
      </c>
      <c r="O8" s="383">
        <v>47021</v>
      </c>
      <c r="P8" s="264" t="s">
        <v>3261</v>
      </c>
      <c r="Q8" s="264"/>
      <c r="R8" s="264"/>
      <c r="S8" s="264"/>
      <c r="T8" s="380" t="s">
        <v>17</v>
      </c>
      <c r="U8" s="264"/>
      <c r="V8" s="264">
        <v>0</v>
      </c>
      <c r="W8" s="264"/>
      <c r="X8" s="264" t="s">
        <v>3280</v>
      </c>
      <c r="Y8" s="264">
        <v>4006</v>
      </c>
      <c r="Z8" s="264" t="s">
        <v>3264</v>
      </c>
      <c r="AA8" s="264"/>
      <c r="AB8" s="264"/>
      <c r="AC8" s="264"/>
      <c r="AD8" s="374"/>
    </row>
    <row r="9" spans="1:30" ht="120">
      <c r="A9" s="380">
        <v>75</v>
      </c>
      <c r="B9" s="375">
        <v>13</v>
      </c>
      <c r="C9" s="264" t="s">
        <v>3284</v>
      </c>
      <c r="D9" s="384" t="s">
        <v>3254</v>
      </c>
      <c r="E9" s="264" t="s">
        <v>3285</v>
      </c>
      <c r="F9" s="380" t="s">
        <v>3287</v>
      </c>
      <c r="G9" s="381">
        <v>45196</v>
      </c>
      <c r="H9" s="383">
        <v>45194</v>
      </c>
      <c r="I9" s="394">
        <v>159100000</v>
      </c>
      <c r="J9" s="380">
        <v>3</v>
      </c>
      <c r="K9" s="380">
        <v>12000000</v>
      </c>
      <c r="L9" s="381">
        <v>45468</v>
      </c>
      <c r="M9" s="380">
        <v>6</v>
      </c>
      <c r="N9" s="264" t="s">
        <v>3283</v>
      </c>
      <c r="O9" s="381">
        <v>47021</v>
      </c>
      <c r="P9" s="264" t="s">
        <v>3261</v>
      </c>
      <c r="R9" s="380">
        <v>20230927</v>
      </c>
      <c r="S9" s="380">
        <v>176606142.81999999</v>
      </c>
      <c r="T9" s="380" t="s">
        <v>48</v>
      </c>
      <c r="U9" s="264"/>
      <c r="V9" s="264">
        <v>0</v>
      </c>
      <c r="W9" s="264"/>
      <c r="X9" s="264" t="s">
        <v>3280</v>
      </c>
      <c r="Y9" s="264">
        <v>4006</v>
      </c>
      <c r="Z9" s="264" t="s">
        <v>3264</v>
      </c>
      <c r="AA9" s="264"/>
      <c r="AB9" s="264"/>
      <c r="AC9" s="264"/>
      <c r="AD9" s="374"/>
    </row>
    <row r="10" spans="1:30" ht="120">
      <c r="A10" s="380">
        <v>52</v>
      </c>
      <c r="B10" s="375">
        <v>14</v>
      </c>
      <c r="C10" s="264" t="s">
        <v>3289</v>
      </c>
      <c r="D10" s="384" t="s">
        <v>3254</v>
      </c>
      <c r="E10" s="264" t="s">
        <v>3290</v>
      </c>
      <c r="F10" s="380" t="s">
        <v>3291</v>
      </c>
      <c r="G10" s="381">
        <v>45196</v>
      </c>
      <c r="H10" s="383">
        <v>45194</v>
      </c>
      <c r="I10" s="380">
        <v>203800000</v>
      </c>
      <c r="J10" s="380">
        <v>3</v>
      </c>
      <c r="K10" s="380">
        <v>15300000</v>
      </c>
      <c r="L10" s="381">
        <v>45468</v>
      </c>
      <c r="M10" s="380">
        <v>6</v>
      </c>
      <c r="N10" s="264" t="s">
        <v>3283</v>
      </c>
      <c r="O10" s="381">
        <v>47021</v>
      </c>
      <c r="P10" s="264" t="s">
        <v>3261</v>
      </c>
      <c r="Q10" s="264"/>
      <c r="R10" s="380">
        <v>6995950</v>
      </c>
      <c r="S10" s="380">
        <v>235670258.74000001</v>
      </c>
      <c r="T10" s="264" t="s">
        <v>17</v>
      </c>
      <c r="U10" s="264"/>
      <c r="V10" s="264">
        <v>0</v>
      </c>
      <c r="W10" s="264"/>
      <c r="X10" s="264" t="s">
        <v>3280</v>
      </c>
      <c r="Y10" s="264">
        <v>4006</v>
      </c>
      <c r="Z10" s="264" t="s">
        <v>3264</v>
      </c>
      <c r="AA10" s="264"/>
      <c r="AB10" s="264"/>
      <c r="AC10" s="264"/>
      <c r="AD10" s="374"/>
    </row>
    <row r="11" spans="1:30" ht="120">
      <c r="A11" s="395">
        <v>53</v>
      </c>
      <c r="B11" s="375">
        <v>15</v>
      </c>
      <c r="C11" s="264" t="s">
        <v>3292</v>
      </c>
      <c r="D11" s="384" t="s">
        <v>3254</v>
      </c>
      <c r="E11" s="264" t="s">
        <v>3293</v>
      </c>
      <c r="F11" s="380" t="s">
        <v>3294</v>
      </c>
      <c r="G11" s="381">
        <v>45196</v>
      </c>
      <c r="H11" s="383">
        <v>45194</v>
      </c>
      <c r="I11" s="264">
        <v>798000000</v>
      </c>
      <c r="J11" s="264">
        <v>3</v>
      </c>
      <c r="K11" s="264">
        <v>50600000</v>
      </c>
      <c r="L11" s="381">
        <v>45468</v>
      </c>
      <c r="M11" s="380">
        <v>6</v>
      </c>
      <c r="N11" s="264" t="s">
        <v>3295</v>
      </c>
      <c r="O11" s="381">
        <v>47386</v>
      </c>
      <c r="P11" s="264" t="s">
        <v>3261</v>
      </c>
      <c r="Q11" s="264"/>
      <c r="R11" s="380">
        <v>24600000</v>
      </c>
      <c r="S11" s="380">
        <v>917876862</v>
      </c>
      <c r="T11" s="264" t="s">
        <v>17</v>
      </c>
      <c r="U11" s="264"/>
      <c r="V11" s="264">
        <v>0</v>
      </c>
      <c r="W11" s="264"/>
      <c r="X11" s="264" t="s">
        <v>3280</v>
      </c>
      <c r="Y11" s="264">
        <v>4006</v>
      </c>
      <c r="Z11" s="264" t="s">
        <v>3264</v>
      </c>
      <c r="AA11" s="264"/>
      <c r="AB11" s="264"/>
      <c r="AC11" s="264"/>
      <c r="AD11" s="374"/>
    </row>
    <row r="12" spans="1:30" ht="120">
      <c r="A12" s="376">
        <v>54</v>
      </c>
      <c r="B12" s="374">
        <v>16</v>
      </c>
      <c r="C12" s="264" t="s">
        <v>3296</v>
      </c>
      <c r="D12" s="384" t="s">
        <v>3254</v>
      </c>
      <c r="E12" s="264" t="s">
        <v>3297</v>
      </c>
      <c r="F12" s="380" t="s">
        <v>3298</v>
      </c>
      <c r="G12" s="381">
        <v>45196</v>
      </c>
      <c r="H12" s="383">
        <v>45194</v>
      </c>
      <c r="I12" s="380">
        <v>698900000</v>
      </c>
      <c r="J12" s="376">
        <v>3</v>
      </c>
      <c r="K12" s="264">
        <v>45100000</v>
      </c>
      <c r="L12" s="381">
        <v>45468</v>
      </c>
      <c r="M12" s="380">
        <v>6</v>
      </c>
      <c r="N12" s="264" t="s">
        <v>3295</v>
      </c>
      <c r="O12" s="381">
        <v>47386</v>
      </c>
      <c r="P12" s="264" t="s">
        <v>3261</v>
      </c>
      <c r="Q12" s="264"/>
      <c r="R12" s="380">
        <v>28400000</v>
      </c>
      <c r="S12" s="380">
        <v>803839961.32000005</v>
      </c>
      <c r="T12" s="380" t="s">
        <v>17</v>
      </c>
      <c r="U12" s="264"/>
      <c r="V12" s="264">
        <v>0</v>
      </c>
      <c r="W12" s="264"/>
      <c r="X12" s="264" t="s">
        <v>3280</v>
      </c>
      <c r="Y12" s="264">
        <v>4006</v>
      </c>
      <c r="Z12" s="264" t="s">
        <v>3264</v>
      </c>
      <c r="AA12" s="264"/>
      <c r="AB12" s="264"/>
      <c r="AC12" s="264"/>
      <c r="AD12" s="374"/>
    </row>
    <row r="13" spans="1:30" ht="120">
      <c r="A13" s="380">
        <v>55</v>
      </c>
      <c r="B13" s="375">
        <v>17</v>
      </c>
      <c r="C13" s="264" t="s">
        <v>3299</v>
      </c>
      <c r="D13" s="384" t="s">
        <v>3254</v>
      </c>
      <c r="E13" s="264" t="s">
        <v>3300</v>
      </c>
      <c r="F13" s="380" t="s">
        <v>3301</v>
      </c>
      <c r="G13" s="381">
        <v>45196</v>
      </c>
      <c r="H13" s="383">
        <v>45194</v>
      </c>
      <c r="I13" s="380">
        <v>180600000</v>
      </c>
      <c r="J13" s="229"/>
      <c r="K13" s="380">
        <v>13600000</v>
      </c>
      <c r="L13" s="381">
        <v>45468</v>
      </c>
      <c r="M13" s="380">
        <v>6</v>
      </c>
      <c r="N13" s="264" t="s">
        <v>3283</v>
      </c>
      <c r="O13" s="381">
        <v>47021</v>
      </c>
      <c r="P13" s="264" t="s">
        <v>3261</v>
      </c>
      <c r="Q13" s="264"/>
      <c r="R13" s="380">
        <v>5600000</v>
      </c>
      <c r="S13" s="380">
        <v>208409129</v>
      </c>
      <c r="T13" s="380" t="s">
        <v>17</v>
      </c>
      <c r="U13" s="264"/>
      <c r="V13" s="264">
        <v>0</v>
      </c>
      <c r="W13" s="264"/>
      <c r="X13" s="264" t="s">
        <v>3280</v>
      </c>
      <c r="Y13" s="264">
        <v>4006</v>
      </c>
      <c r="Z13" s="264" t="s">
        <v>3264</v>
      </c>
      <c r="AA13" s="264"/>
      <c r="AB13" s="264"/>
      <c r="AC13" s="264"/>
      <c r="AD13" s="374"/>
    </row>
    <row r="14" spans="1:30" ht="120">
      <c r="A14" s="395">
        <v>56</v>
      </c>
      <c r="B14" s="375">
        <v>18</v>
      </c>
      <c r="C14" s="387" t="s">
        <v>3302</v>
      </c>
      <c r="D14" s="388" t="s">
        <v>3254</v>
      </c>
      <c r="E14" s="387" t="s">
        <v>3304</v>
      </c>
      <c r="F14" s="395" t="s">
        <v>3303</v>
      </c>
      <c r="G14" s="396">
        <v>45196</v>
      </c>
      <c r="H14" s="390">
        <v>45194</v>
      </c>
      <c r="I14" s="395">
        <v>168700000</v>
      </c>
      <c r="J14" s="387"/>
      <c r="K14" s="387">
        <v>12700000</v>
      </c>
      <c r="L14" s="396">
        <v>45468</v>
      </c>
      <c r="M14" s="395">
        <v>6</v>
      </c>
      <c r="N14" s="387" t="s">
        <v>3283</v>
      </c>
      <c r="O14" s="396">
        <v>47021</v>
      </c>
      <c r="P14" s="264" t="s">
        <v>3261</v>
      </c>
      <c r="Q14" s="264"/>
      <c r="R14" s="380">
        <v>10700000</v>
      </c>
      <c r="S14" s="380">
        <v>190750493.81999999</v>
      </c>
      <c r="T14" s="380" t="s">
        <v>17</v>
      </c>
      <c r="U14" s="264"/>
      <c r="V14" s="264">
        <v>0</v>
      </c>
      <c r="W14" s="264"/>
      <c r="X14" s="264" t="s">
        <v>3280</v>
      </c>
      <c r="Y14" s="264">
        <v>4006</v>
      </c>
      <c r="Z14" s="264" t="s">
        <v>3264</v>
      </c>
      <c r="AA14" s="264"/>
      <c r="AB14" s="264"/>
      <c r="AC14" s="264"/>
      <c r="AD14" s="374"/>
    </row>
    <row r="15" spans="1:30" ht="120">
      <c r="A15" s="376">
        <v>57</v>
      </c>
      <c r="B15" s="374">
        <v>19</v>
      </c>
      <c r="C15" s="387" t="s">
        <v>3305</v>
      </c>
      <c r="D15" s="388" t="s">
        <v>3254</v>
      </c>
      <c r="E15" s="374" t="s">
        <v>3306</v>
      </c>
      <c r="F15" s="380" t="s">
        <v>3307</v>
      </c>
      <c r="G15" s="396">
        <v>45196</v>
      </c>
      <c r="H15" s="390">
        <v>45194</v>
      </c>
      <c r="I15" s="380">
        <v>258200000</v>
      </c>
      <c r="J15" s="376"/>
      <c r="K15" s="264">
        <v>18200000</v>
      </c>
      <c r="L15" s="377">
        <v>45470</v>
      </c>
      <c r="M15" s="395">
        <v>6</v>
      </c>
      <c r="N15" s="387" t="s">
        <v>3283</v>
      </c>
      <c r="O15" s="377">
        <v>47022</v>
      </c>
      <c r="P15" s="264" t="s">
        <v>3261</v>
      </c>
      <c r="Q15" s="264"/>
      <c r="R15" s="380">
        <v>3200000</v>
      </c>
      <c r="S15" s="380">
        <v>299501261.06999999</v>
      </c>
      <c r="T15" s="380" t="s">
        <v>17</v>
      </c>
      <c r="U15" s="264"/>
      <c r="V15" s="264">
        <v>0</v>
      </c>
      <c r="W15" s="264"/>
      <c r="X15" s="264" t="s">
        <v>3280</v>
      </c>
      <c r="Y15" s="264">
        <v>4006</v>
      </c>
      <c r="Z15" s="264" t="s">
        <v>3264</v>
      </c>
      <c r="AA15" s="264"/>
      <c r="AB15" s="264"/>
      <c r="AC15" s="264"/>
      <c r="AD15" s="374"/>
    </row>
    <row r="16" spans="1:30">
      <c r="A16" s="264"/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374"/>
    </row>
    <row r="17" spans="1:30">
      <c r="A17" s="229"/>
      <c r="B17"/>
      <c r="C17" s="185"/>
      <c r="D17" s="371"/>
      <c r="E17" s="371"/>
      <c r="G17" s="229"/>
      <c r="H17" s="229"/>
      <c r="I17" s="229"/>
      <c r="J17" s="229"/>
      <c r="L17" s="229"/>
      <c r="O17" s="229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374"/>
    </row>
    <row r="18" spans="1:30">
      <c r="A18" s="264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374"/>
    </row>
    <row r="19" spans="1:30">
      <c r="A19" s="264"/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3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"/>
  <sheetViews>
    <sheetView topLeftCell="A52" workbookViewId="0">
      <selection activeCell="D2" sqref="D2:E54"/>
    </sheetView>
  </sheetViews>
  <sheetFormatPr defaultRowHeight="15"/>
  <cols>
    <col min="1" max="1" width="9.140625" style="94"/>
    <col min="2" max="2" width="33.85546875" style="94" bestFit="1" customWidth="1"/>
    <col min="4" max="4" width="43.28515625" customWidth="1"/>
  </cols>
  <sheetData>
    <row r="1" spans="1:5">
      <c r="A1" s="93" t="s">
        <v>175</v>
      </c>
      <c r="B1" s="93" t="s">
        <v>176</v>
      </c>
    </row>
    <row r="2" spans="1:5">
      <c r="A2" s="37">
        <v>1</v>
      </c>
      <c r="B2" s="37" t="s">
        <v>1</v>
      </c>
      <c r="C2">
        <v>19</v>
      </c>
      <c r="D2" s="37" t="s">
        <v>151</v>
      </c>
      <c r="E2">
        <v>1</v>
      </c>
    </row>
    <row r="3" spans="1:5">
      <c r="A3" s="37">
        <v>2</v>
      </c>
      <c r="B3" s="37" t="s">
        <v>1</v>
      </c>
      <c r="C3">
        <v>19</v>
      </c>
      <c r="D3" s="79" t="s">
        <v>101</v>
      </c>
      <c r="E3">
        <v>2</v>
      </c>
    </row>
    <row r="4" spans="1:5">
      <c r="A4" s="37">
        <v>3</v>
      </c>
      <c r="B4" s="37" t="s">
        <v>1</v>
      </c>
      <c r="C4">
        <v>19</v>
      </c>
      <c r="D4" s="79" t="s">
        <v>132</v>
      </c>
      <c r="E4">
        <v>3</v>
      </c>
    </row>
    <row r="5" spans="1:5">
      <c r="A5" s="37">
        <v>4</v>
      </c>
      <c r="B5" s="37" t="s">
        <v>1</v>
      </c>
      <c r="C5">
        <v>19</v>
      </c>
      <c r="D5" s="37" t="s">
        <v>155</v>
      </c>
      <c r="E5">
        <v>4</v>
      </c>
    </row>
    <row r="6" spans="1:5">
      <c r="A6" s="37">
        <v>5</v>
      </c>
      <c r="B6" s="37" t="s">
        <v>11</v>
      </c>
      <c r="C6">
        <v>21</v>
      </c>
      <c r="D6" s="79" t="s">
        <v>118</v>
      </c>
      <c r="E6">
        <v>5</v>
      </c>
    </row>
    <row r="7" spans="1:5">
      <c r="A7" s="37">
        <v>6</v>
      </c>
      <c r="B7" s="37" t="s">
        <v>15</v>
      </c>
      <c r="C7">
        <v>20</v>
      </c>
      <c r="D7" s="79" t="s">
        <v>116</v>
      </c>
      <c r="E7">
        <v>6</v>
      </c>
    </row>
    <row r="8" spans="1:5">
      <c r="A8" s="37">
        <v>7</v>
      </c>
      <c r="B8" s="37" t="s">
        <v>18</v>
      </c>
      <c r="C8">
        <v>36</v>
      </c>
      <c r="D8" s="37" t="s">
        <v>90</v>
      </c>
      <c r="E8">
        <v>7</v>
      </c>
    </row>
    <row r="9" spans="1:5">
      <c r="A9" s="37">
        <v>8</v>
      </c>
      <c r="B9" s="37" t="s">
        <v>18</v>
      </c>
      <c r="C9">
        <v>36</v>
      </c>
      <c r="D9" s="37" t="s">
        <v>167</v>
      </c>
      <c r="E9">
        <v>8</v>
      </c>
    </row>
    <row r="10" spans="1:5">
      <c r="A10" s="37">
        <v>9</v>
      </c>
      <c r="B10" s="37" t="s">
        <v>18</v>
      </c>
      <c r="C10">
        <v>36</v>
      </c>
      <c r="D10" s="37" t="s">
        <v>165</v>
      </c>
      <c r="E10">
        <v>9</v>
      </c>
    </row>
    <row r="11" spans="1:5">
      <c r="A11" s="37">
        <v>10</v>
      </c>
      <c r="B11" s="37" t="s">
        <v>23</v>
      </c>
      <c r="C11">
        <v>12</v>
      </c>
      <c r="D11" s="37" t="s">
        <v>62</v>
      </c>
      <c r="E11">
        <v>10</v>
      </c>
    </row>
    <row r="12" spans="1:5">
      <c r="A12" s="37">
        <v>11</v>
      </c>
      <c r="B12" s="37" t="s">
        <v>26</v>
      </c>
      <c r="C12">
        <v>43</v>
      </c>
      <c r="D12" s="37" t="s">
        <v>38</v>
      </c>
      <c r="E12">
        <v>11</v>
      </c>
    </row>
    <row r="13" spans="1:5">
      <c r="A13" s="37">
        <v>12</v>
      </c>
      <c r="B13" s="37" t="s">
        <v>29</v>
      </c>
      <c r="C13">
        <v>51</v>
      </c>
      <c r="D13" s="37" t="s">
        <v>23</v>
      </c>
      <c r="E13">
        <v>12</v>
      </c>
    </row>
    <row r="14" spans="1:5">
      <c r="A14" s="37">
        <v>13</v>
      </c>
      <c r="B14" s="37" t="s">
        <v>31</v>
      </c>
      <c r="C14">
        <v>15</v>
      </c>
      <c r="D14" s="79" t="s">
        <v>139</v>
      </c>
      <c r="E14">
        <v>13</v>
      </c>
    </row>
    <row r="15" spans="1:5">
      <c r="A15" s="37">
        <v>14</v>
      </c>
      <c r="B15" s="37" t="s">
        <v>34</v>
      </c>
      <c r="C15">
        <v>35</v>
      </c>
      <c r="D15" s="79" t="s">
        <v>75</v>
      </c>
      <c r="E15">
        <v>14</v>
      </c>
    </row>
    <row r="16" spans="1:5" ht="25.5">
      <c r="A16" s="37">
        <v>15</v>
      </c>
      <c r="B16" s="37" t="s">
        <v>38</v>
      </c>
      <c r="C16">
        <v>11</v>
      </c>
      <c r="D16" s="37" t="s">
        <v>31</v>
      </c>
      <c r="E16">
        <v>15</v>
      </c>
    </row>
    <row r="17" spans="1:5">
      <c r="A17" s="37">
        <v>16</v>
      </c>
      <c r="B17" s="37" t="s">
        <v>44</v>
      </c>
      <c r="C17">
        <v>39</v>
      </c>
      <c r="D17" s="79" t="s">
        <v>112</v>
      </c>
      <c r="E17">
        <v>16</v>
      </c>
    </row>
    <row r="18" spans="1:5">
      <c r="A18" s="37">
        <v>17</v>
      </c>
      <c r="B18" s="37" t="s">
        <v>50</v>
      </c>
      <c r="C18">
        <v>39</v>
      </c>
      <c r="D18" s="37" t="s">
        <v>171</v>
      </c>
      <c r="E18">
        <v>17</v>
      </c>
    </row>
    <row r="19" spans="1:5">
      <c r="A19" s="37">
        <v>18</v>
      </c>
      <c r="B19" s="37" t="s">
        <v>55</v>
      </c>
      <c r="C19">
        <v>39</v>
      </c>
      <c r="D19" s="37" t="s">
        <v>94</v>
      </c>
      <c r="E19">
        <v>18</v>
      </c>
    </row>
    <row r="20" spans="1:5">
      <c r="A20" s="37">
        <v>19</v>
      </c>
      <c r="B20" s="37" t="s">
        <v>55</v>
      </c>
      <c r="C20">
        <v>39</v>
      </c>
      <c r="D20" s="37" t="s">
        <v>1</v>
      </c>
      <c r="E20">
        <v>19</v>
      </c>
    </row>
    <row r="21" spans="1:5">
      <c r="A21" s="37">
        <v>20</v>
      </c>
      <c r="B21" s="37" t="s">
        <v>62</v>
      </c>
      <c r="C21">
        <v>10</v>
      </c>
      <c r="D21" s="37" t="s">
        <v>15</v>
      </c>
      <c r="E21">
        <v>20</v>
      </c>
    </row>
    <row r="22" spans="1:5">
      <c r="A22" s="37">
        <v>21</v>
      </c>
      <c r="B22" s="37" t="s">
        <v>62</v>
      </c>
      <c r="C22">
        <v>10</v>
      </c>
      <c r="D22" s="37" t="s">
        <v>11</v>
      </c>
      <c r="E22">
        <v>21</v>
      </c>
    </row>
    <row r="23" spans="1:5">
      <c r="A23" s="37">
        <v>22</v>
      </c>
      <c r="B23" s="37" t="s">
        <v>62</v>
      </c>
      <c r="C23">
        <v>10</v>
      </c>
      <c r="D23" s="79" t="s">
        <v>107</v>
      </c>
      <c r="E23">
        <v>22</v>
      </c>
    </row>
    <row r="24" spans="1:5">
      <c r="A24" s="37">
        <v>23</v>
      </c>
      <c r="B24" s="37" t="s">
        <v>71</v>
      </c>
      <c r="C24">
        <v>28</v>
      </c>
      <c r="D24" s="37" t="s">
        <v>163</v>
      </c>
      <c r="E24">
        <v>23</v>
      </c>
    </row>
    <row r="25" spans="1:5">
      <c r="A25" s="37">
        <v>24</v>
      </c>
      <c r="B25" s="79" t="s">
        <v>75</v>
      </c>
      <c r="C25">
        <v>14</v>
      </c>
      <c r="D25" s="37" t="s">
        <v>159</v>
      </c>
      <c r="E25">
        <v>24</v>
      </c>
    </row>
    <row r="26" spans="1:5">
      <c r="A26" s="37">
        <v>25</v>
      </c>
      <c r="B26" s="37" t="s">
        <v>78</v>
      </c>
      <c r="C26">
        <v>37</v>
      </c>
      <c r="D26" s="37" t="s">
        <v>162</v>
      </c>
      <c r="E26">
        <v>25</v>
      </c>
    </row>
    <row r="27" spans="1:5">
      <c r="A27" s="37">
        <v>26</v>
      </c>
      <c r="B27" s="37" t="s">
        <v>71</v>
      </c>
      <c r="C27">
        <v>28</v>
      </c>
      <c r="D27" s="79" t="s">
        <v>128</v>
      </c>
      <c r="E27">
        <v>26</v>
      </c>
    </row>
    <row r="28" spans="1:5">
      <c r="A28" s="37">
        <v>27</v>
      </c>
      <c r="B28" s="37" t="s">
        <v>81</v>
      </c>
      <c r="C28">
        <v>37</v>
      </c>
      <c r="D28" s="79" t="s">
        <v>130</v>
      </c>
      <c r="E28">
        <v>27</v>
      </c>
    </row>
    <row r="29" spans="1:5">
      <c r="A29" s="37">
        <v>28</v>
      </c>
      <c r="B29" s="37" t="s">
        <v>82</v>
      </c>
      <c r="C29">
        <v>37</v>
      </c>
      <c r="D29" s="37" t="s">
        <v>71</v>
      </c>
      <c r="E29">
        <v>28</v>
      </c>
    </row>
    <row r="30" spans="1:5">
      <c r="A30" s="37">
        <v>29</v>
      </c>
      <c r="B30" s="37" t="s">
        <v>86</v>
      </c>
      <c r="C30">
        <v>39</v>
      </c>
      <c r="D30" s="79" t="s">
        <v>121</v>
      </c>
      <c r="E30">
        <v>29</v>
      </c>
    </row>
    <row r="31" spans="1:5">
      <c r="A31" s="37">
        <v>30</v>
      </c>
      <c r="B31" s="37" t="s">
        <v>88</v>
      </c>
      <c r="C31">
        <v>40</v>
      </c>
      <c r="D31" s="79" t="s">
        <v>114</v>
      </c>
      <c r="E31">
        <v>30</v>
      </c>
    </row>
    <row r="32" spans="1:5">
      <c r="A32" s="37">
        <v>31</v>
      </c>
      <c r="B32" s="37" t="s">
        <v>90</v>
      </c>
      <c r="C32">
        <v>7</v>
      </c>
      <c r="D32" s="37" t="s">
        <v>109</v>
      </c>
      <c r="E32">
        <v>31</v>
      </c>
    </row>
    <row r="33" spans="1:5">
      <c r="A33" s="37">
        <v>32</v>
      </c>
      <c r="B33" s="37" t="s">
        <v>92</v>
      </c>
      <c r="C33">
        <v>18</v>
      </c>
      <c r="D33" s="37" t="s">
        <v>106</v>
      </c>
      <c r="E33">
        <v>32</v>
      </c>
    </row>
    <row r="34" spans="1:5">
      <c r="A34" s="37">
        <v>33</v>
      </c>
      <c r="B34" s="37" t="s">
        <v>94</v>
      </c>
      <c r="C34">
        <v>18</v>
      </c>
      <c r="D34" s="79" t="s">
        <v>104</v>
      </c>
      <c r="E34">
        <v>33</v>
      </c>
    </row>
    <row r="35" spans="1:5">
      <c r="A35" s="37">
        <v>34</v>
      </c>
      <c r="B35" s="79" t="s">
        <v>95</v>
      </c>
      <c r="C35">
        <v>22</v>
      </c>
      <c r="D35" s="37" t="s">
        <v>157</v>
      </c>
      <c r="E35">
        <v>34</v>
      </c>
    </row>
    <row r="36" spans="1:5">
      <c r="A36" s="37">
        <v>35</v>
      </c>
      <c r="B36" s="79" t="s">
        <v>99</v>
      </c>
      <c r="C36">
        <v>22</v>
      </c>
      <c r="D36" s="37" t="s">
        <v>34</v>
      </c>
      <c r="E36">
        <v>35</v>
      </c>
    </row>
    <row r="37" spans="1:5">
      <c r="A37" s="37">
        <v>36</v>
      </c>
      <c r="B37" s="79" t="s">
        <v>101</v>
      </c>
      <c r="C37">
        <v>2</v>
      </c>
      <c r="D37" s="37" t="s">
        <v>18</v>
      </c>
      <c r="E37">
        <v>36</v>
      </c>
    </row>
    <row r="38" spans="1:5">
      <c r="A38" s="37">
        <v>37</v>
      </c>
      <c r="B38" s="79" t="s">
        <v>104</v>
      </c>
      <c r="C38">
        <v>33</v>
      </c>
      <c r="D38" s="37" t="s">
        <v>82</v>
      </c>
      <c r="E38">
        <v>37</v>
      </c>
    </row>
    <row r="39" spans="1:5">
      <c r="A39" s="37">
        <v>38</v>
      </c>
      <c r="B39" s="37" t="s">
        <v>106</v>
      </c>
      <c r="C39">
        <v>32</v>
      </c>
      <c r="D39" s="79" t="s">
        <v>129</v>
      </c>
      <c r="E39">
        <v>38</v>
      </c>
    </row>
    <row r="40" spans="1:5">
      <c r="A40" s="37">
        <v>39</v>
      </c>
      <c r="B40" s="79" t="s">
        <v>107</v>
      </c>
      <c r="C40">
        <v>22</v>
      </c>
      <c r="D40" s="37" t="s">
        <v>86</v>
      </c>
      <c r="E40">
        <v>39</v>
      </c>
    </row>
    <row r="41" spans="1:5">
      <c r="A41" s="37">
        <v>40</v>
      </c>
      <c r="B41" s="37" t="s">
        <v>109</v>
      </c>
      <c r="C41">
        <v>31</v>
      </c>
      <c r="D41" s="37" t="s">
        <v>88</v>
      </c>
      <c r="E41">
        <v>40</v>
      </c>
    </row>
    <row r="42" spans="1:5">
      <c r="A42" s="37">
        <v>41</v>
      </c>
      <c r="B42" s="79" t="s">
        <v>111</v>
      </c>
      <c r="C42">
        <v>47</v>
      </c>
      <c r="D42" s="92" t="s">
        <v>168</v>
      </c>
      <c r="E42">
        <v>41</v>
      </c>
    </row>
    <row r="43" spans="1:5">
      <c r="A43" s="37">
        <v>42</v>
      </c>
      <c r="B43" s="79" t="s">
        <v>112</v>
      </c>
      <c r="C43">
        <v>16</v>
      </c>
      <c r="D43" s="79" t="s">
        <v>124</v>
      </c>
      <c r="E43">
        <v>42</v>
      </c>
    </row>
    <row r="44" spans="1:5">
      <c r="A44" s="37">
        <v>43</v>
      </c>
      <c r="B44" s="79" t="s">
        <v>114</v>
      </c>
      <c r="C44">
        <v>30</v>
      </c>
      <c r="D44" s="37" t="s">
        <v>26</v>
      </c>
      <c r="E44">
        <v>43</v>
      </c>
    </row>
    <row r="45" spans="1:5">
      <c r="A45" s="37">
        <v>44</v>
      </c>
      <c r="B45" s="79" t="s">
        <v>112</v>
      </c>
      <c r="C45">
        <v>16</v>
      </c>
      <c r="D45" s="79" t="s">
        <v>145</v>
      </c>
      <c r="E45">
        <v>44</v>
      </c>
    </row>
    <row r="46" spans="1:5">
      <c r="A46" s="37">
        <v>45</v>
      </c>
      <c r="B46" s="79" t="s">
        <v>116</v>
      </c>
      <c r="C46">
        <v>6</v>
      </c>
      <c r="D46" s="79" t="s">
        <v>144</v>
      </c>
      <c r="E46">
        <v>45</v>
      </c>
    </row>
    <row r="47" spans="1:5">
      <c r="A47" s="37">
        <v>46</v>
      </c>
      <c r="B47" s="79" t="s">
        <v>118</v>
      </c>
      <c r="C47">
        <v>5</v>
      </c>
      <c r="D47" s="79" t="s">
        <v>143</v>
      </c>
      <c r="E47">
        <v>46</v>
      </c>
    </row>
    <row r="48" spans="1:5">
      <c r="A48" s="37">
        <v>47</v>
      </c>
      <c r="B48" s="79" t="s">
        <v>121</v>
      </c>
      <c r="C48">
        <v>29</v>
      </c>
      <c r="D48" s="37" t="s">
        <v>149</v>
      </c>
      <c r="E48">
        <v>47</v>
      </c>
    </row>
    <row r="49" spans="1:5">
      <c r="A49" s="37">
        <v>48</v>
      </c>
      <c r="B49" s="79" t="s">
        <v>124</v>
      </c>
      <c r="C49">
        <v>42</v>
      </c>
      <c r="D49" s="37" t="s">
        <v>188</v>
      </c>
      <c r="E49">
        <v>48</v>
      </c>
    </row>
    <row r="50" spans="1:5">
      <c r="A50" s="37">
        <v>49</v>
      </c>
      <c r="B50" s="79" t="s">
        <v>126</v>
      </c>
      <c r="C50">
        <v>52</v>
      </c>
      <c r="D50" s="37" t="s">
        <v>153</v>
      </c>
      <c r="E50">
        <v>49</v>
      </c>
    </row>
    <row r="51" spans="1:5">
      <c r="A51" s="37">
        <v>50</v>
      </c>
      <c r="B51" s="79" t="s">
        <v>128</v>
      </c>
      <c r="C51">
        <v>26</v>
      </c>
      <c r="D51" s="79" t="s">
        <v>136</v>
      </c>
      <c r="E51">
        <v>50</v>
      </c>
    </row>
    <row r="52" spans="1:5">
      <c r="A52" s="37">
        <v>51</v>
      </c>
      <c r="B52" s="79" t="s">
        <v>121</v>
      </c>
      <c r="C52">
        <v>29</v>
      </c>
      <c r="D52" s="37" t="s">
        <v>29</v>
      </c>
      <c r="E52">
        <v>51</v>
      </c>
    </row>
    <row r="53" spans="1:5">
      <c r="A53" s="37">
        <v>52</v>
      </c>
      <c r="B53" s="79" t="s">
        <v>128</v>
      </c>
      <c r="C53">
        <v>26</v>
      </c>
      <c r="D53" s="79" t="s">
        <v>126</v>
      </c>
      <c r="E53">
        <v>52</v>
      </c>
    </row>
    <row r="54" spans="1:5">
      <c r="A54" s="37">
        <v>53</v>
      </c>
      <c r="B54" s="79" t="s">
        <v>126</v>
      </c>
      <c r="C54">
        <v>52</v>
      </c>
      <c r="D54" s="37" t="s">
        <v>160</v>
      </c>
      <c r="E54">
        <v>53</v>
      </c>
    </row>
    <row r="55" spans="1:5">
      <c r="A55" s="37">
        <v>54</v>
      </c>
      <c r="B55" s="79" t="s">
        <v>128</v>
      </c>
      <c r="C55">
        <v>26</v>
      </c>
    </row>
    <row r="56" spans="1:5">
      <c r="A56" s="37">
        <v>55</v>
      </c>
      <c r="B56" s="79" t="s">
        <v>111</v>
      </c>
      <c r="C56">
        <v>47</v>
      </c>
    </row>
    <row r="57" spans="1:5">
      <c r="A57" s="37">
        <v>56</v>
      </c>
      <c r="B57" s="79" t="s">
        <v>129</v>
      </c>
      <c r="C57">
        <v>38</v>
      </c>
    </row>
    <row r="58" spans="1:5">
      <c r="A58" s="37">
        <v>57</v>
      </c>
      <c r="B58" s="79" t="s">
        <v>130</v>
      </c>
      <c r="C58">
        <v>27</v>
      </c>
    </row>
    <row r="59" spans="1:5">
      <c r="A59" s="37">
        <v>58</v>
      </c>
      <c r="B59" s="79" t="s">
        <v>126</v>
      </c>
      <c r="C59">
        <v>52</v>
      </c>
    </row>
    <row r="60" spans="1:5">
      <c r="A60" s="37">
        <v>59</v>
      </c>
      <c r="B60" s="79" t="s">
        <v>121</v>
      </c>
      <c r="C60">
        <v>29</v>
      </c>
    </row>
    <row r="61" spans="1:5">
      <c r="A61" s="37">
        <v>60</v>
      </c>
      <c r="B61" s="79" t="s">
        <v>132</v>
      </c>
      <c r="C61">
        <v>3</v>
      </c>
    </row>
    <row r="62" spans="1:5">
      <c r="A62" s="37">
        <v>61</v>
      </c>
      <c r="B62" s="79" t="s">
        <v>133</v>
      </c>
      <c r="C62">
        <v>26</v>
      </c>
    </row>
    <row r="63" spans="1:5">
      <c r="A63" s="37">
        <v>62</v>
      </c>
      <c r="B63" s="79" t="s">
        <v>126</v>
      </c>
      <c r="C63">
        <v>52</v>
      </c>
    </row>
    <row r="64" spans="1:5">
      <c r="A64" s="37">
        <v>63</v>
      </c>
      <c r="B64" s="79" t="s">
        <v>111</v>
      </c>
      <c r="C64">
        <v>47</v>
      </c>
    </row>
    <row r="65" spans="1:3">
      <c r="A65" s="37">
        <v>64</v>
      </c>
      <c r="B65" s="79" t="s">
        <v>136</v>
      </c>
      <c r="C65">
        <v>50</v>
      </c>
    </row>
    <row r="66" spans="1:3">
      <c r="A66" s="37">
        <v>65</v>
      </c>
      <c r="B66" s="79" t="s">
        <v>126</v>
      </c>
      <c r="C66">
        <v>52</v>
      </c>
    </row>
    <row r="67" spans="1:3">
      <c r="A67" s="37">
        <v>66</v>
      </c>
      <c r="B67" s="79" t="s">
        <v>136</v>
      </c>
      <c r="C67">
        <v>50</v>
      </c>
    </row>
    <row r="68" spans="1:3">
      <c r="A68" s="37">
        <v>67</v>
      </c>
      <c r="B68" s="79" t="s">
        <v>139</v>
      </c>
      <c r="C68">
        <v>13</v>
      </c>
    </row>
    <row r="69" spans="1:3">
      <c r="A69" s="37">
        <v>68</v>
      </c>
      <c r="B69" s="79" t="s">
        <v>140</v>
      </c>
      <c r="C69">
        <v>47</v>
      </c>
    </row>
    <row r="70" spans="1:3">
      <c r="A70" s="37">
        <v>69</v>
      </c>
      <c r="B70" s="79" t="s">
        <v>126</v>
      </c>
      <c r="C70">
        <v>52</v>
      </c>
    </row>
    <row r="71" spans="1:3">
      <c r="A71" s="37">
        <v>70</v>
      </c>
      <c r="B71" s="79" t="s">
        <v>132</v>
      </c>
      <c r="C71">
        <v>3</v>
      </c>
    </row>
    <row r="72" spans="1:3">
      <c r="A72" s="37">
        <v>71</v>
      </c>
      <c r="B72" s="79" t="s">
        <v>121</v>
      </c>
      <c r="C72">
        <v>29</v>
      </c>
    </row>
    <row r="73" spans="1:3">
      <c r="A73" s="37">
        <v>72</v>
      </c>
      <c r="B73" s="79" t="s">
        <v>143</v>
      </c>
      <c r="C73">
        <v>46</v>
      </c>
    </row>
    <row r="74" spans="1:3">
      <c r="A74" s="37">
        <v>73</v>
      </c>
      <c r="B74" s="79" t="s">
        <v>128</v>
      </c>
      <c r="C74">
        <v>26</v>
      </c>
    </row>
    <row r="75" spans="1:3">
      <c r="A75" s="37">
        <v>74</v>
      </c>
      <c r="B75" s="79" t="s">
        <v>126</v>
      </c>
      <c r="C75">
        <v>52</v>
      </c>
    </row>
    <row r="76" spans="1:3">
      <c r="A76" s="37">
        <v>75</v>
      </c>
      <c r="B76" s="79" t="s">
        <v>132</v>
      </c>
      <c r="C76">
        <v>3</v>
      </c>
    </row>
    <row r="77" spans="1:3">
      <c r="A77" s="37">
        <v>76</v>
      </c>
      <c r="B77" s="79" t="s">
        <v>144</v>
      </c>
      <c r="C77">
        <v>45</v>
      </c>
    </row>
    <row r="78" spans="1:3">
      <c r="A78" s="37">
        <v>77</v>
      </c>
      <c r="B78" s="79" t="s">
        <v>143</v>
      </c>
      <c r="C78">
        <v>46</v>
      </c>
    </row>
    <row r="79" spans="1:3">
      <c r="A79" s="37">
        <v>78</v>
      </c>
      <c r="B79" s="79" t="s">
        <v>143</v>
      </c>
      <c r="C79">
        <v>46</v>
      </c>
    </row>
    <row r="80" spans="1:3">
      <c r="A80" s="37">
        <v>79</v>
      </c>
      <c r="B80" s="79" t="s">
        <v>145</v>
      </c>
      <c r="C80">
        <v>44</v>
      </c>
    </row>
    <row r="81" spans="1:3">
      <c r="A81" s="37">
        <v>80</v>
      </c>
      <c r="B81" s="79" t="s">
        <v>126</v>
      </c>
      <c r="C81">
        <v>52</v>
      </c>
    </row>
    <row r="82" spans="1:3">
      <c r="A82" s="37">
        <v>81</v>
      </c>
      <c r="B82" s="37" t="s">
        <v>128</v>
      </c>
      <c r="C82">
        <v>26</v>
      </c>
    </row>
    <row r="83" spans="1:3">
      <c r="A83" s="37">
        <v>82</v>
      </c>
      <c r="B83" s="37" t="s">
        <v>121</v>
      </c>
      <c r="C83">
        <v>29</v>
      </c>
    </row>
    <row r="84" spans="1:3">
      <c r="A84" s="37">
        <v>83</v>
      </c>
      <c r="B84" s="37" t="s">
        <v>147</v>
      </c>
      <c r="C84">
        <v>40</v>
      </c>
    </row>
    <row r="85" spans="1:3" ht="25.5">
      <c r="A85" s="37">
        <v>84</v>
      </c>
      <c r="B85" s="37" t="s">
        <v>148</v>
      </c>
      <c r="C85">
        <v>49</v>
      </c>
    </row>
    <row r="86" spans="1:3" ht="25.5">
      <c r="A86" s="37">
        <v>85</v>
      </c>
      <c r="B86" s="37" t="s">
        <v>148</v>
      </c>
      <c r="C86">
        <v>49</v>
      </c>
    </row>
    <row r="87" spans="1:3">
      <c r="A87" s="37">
        <v>86</v>
      </c>
      <c r="B87" s="37" t="s">
        <v>126</v>
      </c>
      <c r="C87">
        <v>52</v>
      </c>
    </row>
    <row r="88" spans="1:3">
      <c r="A88" s="37">
        <v>87</v>
      </c>
      <c r="B88" s="37" t="s">
        <v>128</v>
      </c>
      <c r="C88">
        <v>26</v>
      </c>
    </row>
    <row r="89" spans="1:3">
      <c r="A89" s="37">
        <v>88</v>
      </c>
      <c r="B89" s="37" t="s">
        <v>149</v>
      </c>
      <c r="C89">
        <v>47</v>
      </c>
    </row>
    <row r="90" spans="1:3">
      <c r="A90" s="37">
        <v>89</v>
      </c>
      <c r="B90" s="37" t="s">
        <v>151</v>
      </c>
      <c r="C90">
        <v>1</v>
      </c>
    </row>
    <row r="91" spans="1:3" ht="25.5">
      <c r="A91" s="37">
        <v>90</v>
      </c>
      <c r="B91" s="37" t="s">
        <v>153</v>
      </c>
      <c r="C91">
        <v>49</v>
      </c>
    </row>
    <row r="92" spans="1:3">
      <c r="A92" s="37">
        <v>91</v>
      </c>
      <c r="B92" s="37" t="s">
        <v>155</v>
      </c>
      <c r="C92">
        <v>4</v>
      </c>
    </row>
    <row r="93" spans="1:3">
      <c r="A93" s="37">
        <v>92</v>
      </c>
      <c r="B93" s="37" t="s">
        <v>157</v>
      </c>
      <c r="C93">
        <v>34</v>
      </c>
    </row>
    <row r="94" spans="1:3">
      <c r="A94" s="37">
        <v>93</v>
      </c>
      <c r="B94" s="37" t="s">
        <v>159</v>
      </c>
      <c r="C94">
        <v>24</v>
      </c>
    </row>
    <row r="95" spans="1:3">
      <c r="A95" s="37">
        <v>94</v>
      </c>
      <c r="B95" s="37" t="s">
        <v>160</v>
      </c>
      <c r="C95">
        <v>53</v>
      </c>
    </row>
    <row r="96" spans="1:3">
      <c r="A96" s="37">
        <v>95</v>
      </c>
      <c r="B96" s="37" t="s">
        <v>161</v>
      </c>
      <c r="C96">
        <v>48</v>
      </c>
    </row>
    <row r="97" spans="1:3">
      <c r="A97" s="37">
        <v>96</v>
      </c>
      <c r="B97" s="37" t="s">
        <v>162</v>
      </c>
      <c r="C97">
        <v>25</v>
      </c>
    </row>
    <row r="98" spans="1:3" ht="25.5">
      <c r="A98" s="37">
        <v>97</v>
      </c>
      <c r="B98" s="37" t="s">
        <v>163</v>
      </c>
      <c r="C98">
        <v>23</v>
      </c>
    </row>
    <row r="99" spans="1:3">
      <c r="A99" s="37">
        <v>98</v>
      </c>
      <c r="B99" s="37" t="s">
        <v>165</v>
      </c>
      <c r="C99">
        <v>9</v>
      </c>
    </row>
    <row r="100" spans="1:3">
      <c r="A100" s="37">
        <v>99</v>
      </c>
      <c r="B100" s="37" t="s">
        <v>167</v>
      </c>
      <c r="C100">
        <v>8</v>
      </c>
    </row>
    <row r="101" spans="1:3">
      <c r="A101" s="37">
        <v>100</v>
      </c>
      <c r="B101" s="92" t="s">
        <v>168</v>
      </c>
      <c r="C101">
        <v>41</v>
      </c>
    </row>
    <row r="102" spans="1:3">
      <c r="A102" s="37">
        <v>101</v>
      </c>
      <c r="B102" s="92" t="s">
        <v>169</v>
      </c>
      <c r="C102">
        <v>23</v>
      </c>
    </row>
    <row r="103" spans="1:3">
      <c r="A103" s="37">
        <v>102</v>
      </c>
      <c r="B103" s="37" t="s">
        <v>139</v>
      </c>
      <c r="C103">
        <v>13</v>
      </c>
    </row>
    <row r="104" spans="1:3">
      <c r="A104" s="37">
        <v>103</v>
      </c>
      <c r="B104" s="37" t="s">
        <v>139</v>
      </c>
      <c r="C104">
        <v>13</v>
      </c>
    </row>
    <row r="105" spans="1:3">
      <c r="A105" s="37">
        <v>104</v>
      </c>
      <c r="B105" s="37" t="s">
        <v>165</v>
      </c>
      <c r="C105">
        <v>9</v>
      </c>
    </row>
    <row r="106" spans="1:3">
      <c r="A106" s="37">
        <v>105</v>
      </c>
      <c r="B106" s="37" t="s">
        <v>139</v>
      </c>
      <c r="C106">
        <v>13</v>
      </c>
    </row>
    <row r="107" spans="1:3">
      <c r="A107" s="37">
        <v>106</v>
      </c>
      <c r="B107" s="37" t="s">
        <v>171</v>
      </c>
      <c r="C107">
        <v>17</v>
      </c>
    </row>
    <row r="108" spans="1:3">
      <c r="A108" s="37">
        <v>107</v>
      </c>
      <c r="B108" s="37" t="s">
        <v>173</v>
      </c>
      <c r="C108">
        <v>25</v>
      </c>
    </row>
    <row r="109" spans="1:3">
      <c r="A109" s="37">
        <v>108</v>
      </c>
      <c r="B109" s="37" t="s">
        <v>165</v>
      </c>
      <c r="C109">
        <v>9</v>
      </c>
    </row>
  </sheetData>
  <sortState ref="A2:C109">
    <sortCondition ref="A2:A10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3:G155"/>
  <sheetViews>
    <sheetView topLeftCell="A5" workbookViewId="0">
      <selection activeCell="C13" sqref="C13"/>
    </sheetView>
  </sheetViews>
  <sheetFormatPr defaultRowHeight="15"/>
  <cols>
    <col min="2" max="2" width="4" bestFit="1" customWidth="1"/>
    <col min="3" max="3" width="42.7109375" style="203" bestFit="1" customWidth="1"/>
    <col min="4" max="4" width="6.42578125" customWidth="1"/>
    <col min="5" max="5" width="78" customWidth="1"/>
    <col min="6" max="6" width="30.85546875" customWidth="1"/>
    <col min="7" max="7" width="3" customWidth="1"/>
  </cols>
  <sheetData>
    <row r="3" spans="2:7">
      <c r="B3" s="185">
        <v>1</v>
      </c>
      <c r="C3" s="185" t="s">
        <v>1647</v>
      </c>
      <c r="D3" s="185" t="s">
        <v>1646</v>
      </c>
      <c r="E3" s="185" t="s">
        <v>1656</v>
      </c>
      <c r="F3" s="185" t="s">
        <v>1661</v>
      </c>
      <c r="G3" s="185">
        <v>0</v>
      </c>
    </row>
    <row r="4" spans="2:7">
      <c r="B4" s="185">
        <v>2</v>
      </c>
      <c r="C4" s="185" t="s">
        <v>1019</v>
      </c>
      <c r="D4" s="185" t="s">
        <v>1646</v>
      </c>
      <c r="E4" s="185" t="s">
        <v>1657</v>
      </c>
      <c r="F4" s="185" t="s">
        <v>1660</v>
      </c>
      <c r="G4" s="185">
        <v>0</v>
      </c>
    </row>
    <row r="5" spans="2:7">
      <c r="B5" s="185">
        <v>3</v>
      </c>
      <c r="C5" s="185" t="s">
        <v>1648</v>
      </c>
      <c r="D5" s="185" t="s">
        <v>1646</v>
      </c>
      <c r="E5" s="185" t="s">
        <v>1658</v>
      </c>
      <c r="F5" s="185" t="s">
        <v>1659</v>
      </c>
      <c r="G5" s="185">
        <v>0</v>
      </c>
    </row>
    <row r="6" spans="2:7">
      <c r="B6" s="185">
        <v>4</v>
      </c>
      <c r="C6" s="185" t="s">
        <v>1649</v>
      </c>
      <c r="D6" s="185" t="s">
        <v>1646</v>
      </c>
      <c r="E6" s="185" t="s">
        <v>1662</v>
      </c>
      <c r="F6" s="185" t="s">
        <v>1662</v>
      </c>
      <c r="G6" s="185">
        <v>0</v>
      </c>
    </row>
    <row r="7" spans="2:7">
      <c r="B7" s="185">
        <v>5</v>
      </c>
      <c r="C7" s="185" t="s">
        <v>1650</v>
      </c>
      <c r="D7" s="185" t="s">
        <v>1646</v>
      </c>
      <c r="E7" s="185" t="s">
        <v>3235</v>
      </c>
      <c r="F7" s="185" t="s">
        <v>1662</v>
      </c>
      <c r="G7" s="185">
        <v>0</v>
      </c>
    </row>
    <row r="8" spans="2:7">
      <c r="B8" s="185">
        <v>6</v>
      </c>
      <c r="C8" s="185" t="s">
        <v>1651</v>
      </c>
      <c r="D8" s="185" t="s">
        <v>1646</v>
      </c>
      <c r="E8" s="185" t="s">
        <v>1662</v>
      </c>
      <c r="F8" s="185" t="s">
        <v>1662</v>
      </c>
      <c r="G8" s="185">
        <v>0</v>
      </c>
    </row>
    <row r="9" spans="2:7">
      <c r="B9" s="185">
        <v>7</v>
      </c>
      <c r="C9" s="185" t="s">
        <v>1652</v>
      </c>
      <c r="D9" s="185" t="s">
        <v>1646</v>
      </c>
      <c r="E9" s="185" t="s">
        <v>1662</v>
      </c>
      <c r="F9" s="185" t="s">
        <v>1662</v>
      </c>
      <c r="G9" s="185">
        <v>0</v>
      </c>
    </row>
    <row r="10" spans="2:7">
      <c r="B10" s="185">
        <v>8</v>
      </c>
      <c r="C10" s="185" t="s">
        <v>1653</v>
      </c>
      <c r="D10" s="185" t="s">
        <v>1646</v>
      </c>
      <c r="E10" s="185" t="s">
        <v>1662</v>
      </c>
      <c r="F10" s="185" t="s">
        <v>1662</v>
      </c>
      <c r="G10" s="185">
        <v>0</v>
      </c>
    </row>
    <row r="11" spans="2:7">
      <c r="B11" s="185">
        <v>9</v>
      </c>
      <c r="C11" s="185" t="s">
        <v>1654</v>
      </c>
      <c r="D11" s="185" t="s">
        <v>1646</v>
      </c>
      <c r="E11" s="185" t="s">
        <v>1662</v>
      </c>
      <c r="F11" s="185" t="s">
        <v>1662</v>
      </c>
      <c r="G11" s="185">
        <v>0</v>
      </c>
    </row>
    <row r="12" spans="2:7">
      <c r="B12" s="185">
        <v>10</v>
      </c>
      <c r="C12" s="185" t="s">
        <v>1655</v>
      </c>
      <c r="D12" s="185" t="s">
        <v>1646</v>
      </c>
      <c r="E12" s="185" t="s">
        <v>1662</v>
      </c>
      <c r="F12" s="185" t="s">
        <v>1662</v>
      </c>
      <c r="G12" s="185">
        <v>0</v>
      </c>
    </row>
    <row r="13" spans="2:7">
      <c r="B13" s="185">
        <v>11</v>
      </c>
      <c r="C13" s="185" t="s">
        <v>1392</v>
      </c>
      <c r="D13" s="185" t="s">
        <v>1670</v>
      </c>
      <c r="E13" s="185" t="s">
        <v>3277</v>
      </c>
      <c r="F13" s="185" t="s">
        <v>1662</v>
      </c>
      <c r="G13" s="185">
        <v>9</v>
      </c>
    </row>
    <row r="14" spans="2:7">
      <c r="B14" s="185">
        <v>12</v>
      </c>
      <c r="C14" s="185" t="s">
        <v>1439</v>
      </c>
      <c r="D14" s="185" t="s">
        <v>1670</v>
      </c>
      <c r="E14" s="185" t="s">
        <v>1662</v>
      </c>
      <c r="F14" s="185" t="s">
        <v>1662</v>
      </c>
      <c r="G14" s="185">
        <v>9</v>
      </c>
    </row>
    <row r="15" spans="2:7">
      <c r="B15" s="185">
        <v>13</v>
      </c>
      <c r="C15" s="185" t="s">
        <v>1447</v>
      </c>
      <c r="D15" s="185" t="s">
        <v>1670</v>
      </c>
      <c r="E15" s="185" t="s">
        <v>3152</v>
      </c>
      <c r="F15" s="185" t="s">
        <v>3153</v>
      </c>
      <c r="G15" s="185">
        <v>9</v>
      </c>
    </row>
    <row r="16" spans="2:7">
      <c r="B16" s="185">
        <v>14</v>
      </c>
      <c r="C16" s="185" t="s">
        <v>2240</v>
      </c>
      <c r="D16" s="185" t="s">
        <v>1670</v>
      </c>
      <c r="E16" s="185" t="s">
        <v>3275</v>
      </c>
      <c r="F16" s="185" t="s">
        <v>1662</v>
      </c>
      <c r="G16" s="185">
        <v>9</v>
      </c>
    </row>
    <row r="17" spans="2:7">
      <c r="B17" s="185">
        <v>15</v>
      </c>
      <c r="C17" s="185" t="s">
        <v>1389</v>
      </c>
      <c r="D17" s="185" t="s">
        <v>1670</v>
      </c>
      <c r="E17" s="185" t="s">
        <v>1662</v>
      </c>
      <c r="F17" s="185" t="s">
        <v>1662</v>
      </c>
      <c r="G17" s="185">
        <v>9</v>
      </c>
    </row>
    <row r="18" spans="2:7">
      <c r="B18" s="185">
        <v>16</v>
      </c>
      <c r="C18" s="185" t="s">
        <v>1446</v>
      </c>
      <c r="D18" s="185" t="s">
        <v>1670</v>
      </c>
      <c r="E18" s="185" t="s">
        <v>1662</v>
      </c>
      <c r="F18" s="185" t="s">
        <v>1662</v>
      </c>
      <c r="G18" s="185">
        <v>9</v>
      </c>
    </row>
    <row r="19" spans="2:7">
      <c r="B19" s="185">
        <v>17</v>
      </c>
      <c r="C19" s="185" t="s">
        <v>1395</v>
      </c>
      <c r="D19" s="185" t="s">
        <v>1670</v>
      </c>
      <c r="E19" s="185" t="s">
        <v>1662</v>
      </c>
      <c r="F19" s="185" t="s">
        <v>1662</v>
      </c>
      <c r="G19" s="185">
        <v>9</v>
      </c>
    </row>
    <row r="20" spans="2:7">
      <c r="B20" s="185">
        <v>18</v>
      </c>
      <c r="C20" s="185" t="s">
        <v>1391</v>
      </c>
      <c r="D20" s="185" t="s">
        <v>1670</v>
      </c>
      <c r="E20" s="185" t="s">
        <v>3276</v>
      </c>
      <c r="F20" s="185" t="s">
        <v>1662</v>
      </c>
      <c r="G20" s="185">
        <v>9</v>
      </c>
    </row>
    <row r="21" spans="2:7">
      <c r="B21" s="185">
        <v>19</v>
      </c>
      <c r="C21" s="185" t="s">
        <v>1449</v>
      </c>
      <c r="D21" s="185" t="s">
        <v>1670</v>
      </c>
      <c r="E21" s="185" t="s">
        <v>1662</v>
      </c>
      <c r="F21" s="185" t="s">
        <v>1662</v>
      </c>
      <c r="G21" s="185">
        <v>9</v>
      </c>
    </row>
    <row r="22" spans="2:7">
      <c r="B22" s="185">
        <v>20</v>
      </c>
      <c r="C22" s="185" t="s">
        <v>132</v>
      </c>
      <c r="D22" s="185" t="s">
        <v>1670</v>
      </c>
      <c r="E22" s="185" t="s">
        <v>1662</v>
      </c>
      <c r="F22" s="185" t="s">
        <v>1662</v>
      </c>
      <c r="G22" s="185">
        <v>10</v>
      </c>
    </row>
    <row r="23" spans="2:7">
      <c r="B23" s="185">
        <v>21</v>
      </c>
      <c r="C23" s="185" t="s">
        <v>2241</v>
      </c>
      <c r="D23" s="185" t="s">
        <v>1670</v>
      </c>
      <c r="E23" s="185" t="s">
        <v>1662</v>
      </c>
      <c r="F23" s="185" t="s">
        <v>1662</v>
      </c>
      <c r="G23" s="185">
        <v>10</v>
      </c>
    </row>
    <row r="24" spans="2:7">
      <c r="B24" s="185">
        <v>22</v>
      </c>
      <c r="C24" s="185" t="s">
        <v>126</v>
      </c>
      <c r="D24" s="185" t="s">
        <v>1670</v>
      </c>
      <c r="E24" s="185" t="s">
        <v>1662</v>
      </c>
      <c r="F24" s="185" t="s">
        <v>1662</v>
      </c>
      <c r="G24" s="185">
        <v>10</v>
      </c>
    </row>
    <row r="25" spans="2:7">
      <c r="B25" s="185">
        <v>23</v>
      </c>
      <c r="C25" s="185" t="s">
        <v>1622</v>
      </c>
      <c r="D25" s="185" t="s">
        <v>1670</v>
      </c>
      <c r="E25" s="185" t="s">
        <v>1662</v>
      </c>
      <c r="F25" s="185" t="s">
        <v>1662</v>
      </c>
      <c r="G25" s="185">
        <v>3</v>
      </c>
    </row>
    <row r="26" spans="2:7">
      <c r="B26" s="185">
        <v>24</v>
      </c>
      <c r="C26" s="185" t="s">
        <v>2242</v>
      </c>
      <c r="D26" s="185" t="s">
        <v>1670</v>
      </c>
      <c r="E26" s="185" t="s">
        <v>1662</v>
      </c>
      <c r="F26" s="185" t="s">
        <v>1662</v>
      </c>
      <c r="G26" s="185">
        <v>3</v>
      </c>
    </row>
    <row r="27" spans="2:7">
      <c r="B27" s="185">
        <v>25</v>
      </c>
      <c r="C27" s="185" t="s">
        <v>2243</v>
      </c>
      <c r="D27" s="185" t="s">
        <v>1670</v>
      </c>
      <c r="E27" s="185" t="s">
        <v>1662</v>
      </c>
      <c r="F27" s="185" t="s">
        <v>1662</v>
      </c>
      <c r="G27" s="185">
        <v>3</v>
      </c>
    </row>
    <row r="28" spans="2:7">
      <c r="B28" s="185">
        <v>26</v>
      </c>
      <c r="C28" s="185" t="s">
        <v>2244</v>
      </c>
      <c r="D28" s="185" t="s">
        <v>1670</v>
      </c>
      <c r="E28" s="185" t="s">
        <v>1662</v>
      </c>
      <c r="F28" s="185" t="s">
        <v>1662</v>
      </c>
      <c r="G28" s="185">
        <v>3</v>
      </c>
    </row>
    <row r="29" spans="2:7">
      <c r="B29" s="185">
        <v>27</v>
      </c>
      <c r="C29" s="185" t="s">
        <v>2245</v>
      </c>
      <c r="D29" s="185" t="s">
        <v>1670</v>
      </c>
      <c r="E29" s="185" t="s">
        <v>1662</v>
      </c>
      <c r="F29" s="185" t="s">
        <v>1662</v>
      </c>
      <c r="G29" s="185">
        <v>3</v>
      </c>
    </row>
    <row r="30" spans="2:7">
      <c r="B30" s="185">
        <v>28</v>
      </c>
      <c r="C30" s="185" t="s">
        <v>1679</v>
      </c>
      <c r="D30" s="185" t="s">
        <v>1670</v>
      </c>
      <c r="E30" s="185" t="s">
        <v>1662</v>
      </c>
      <c r="F30" s="185" t="s">
        <v>1662</v>
      </c>
      <c r="G30" s="185">
        <v>3</v>
      </c>
    </row>
    <row r="31" spans="2:7">
      <c r="B31" s="185">
        <v>29</v>
      </c>
      <c r="C31" s="185" t="s">
        <v>2246</v>
      </c>
      <c r="D31" s="185" t="s">
        <v>1670</v>
      </c>
      <c r="E31" s="185" t="s">
        <v>1662</v>
      </c>
      <c r="F31" s="185" t="s">
        <v>1662</v>
      </c>
      <c r="G31" s="185">
        <v>8</v>
      </c>
    </row>
    <row r="32" spans="2:7">
      <c r="B32" s="185">
        <v>30</v>
      </c>
      <c r="C32" s="185" t="s">
        <v>2247</v>
      </c>
      <c r="D32" s="185" t="s">
        <v>1670</v>
      </c>
      <c r="E32" s="185" t="s">
        <v>1662</v>
      </c>
      <c r="F32" s="185" t="s">
        <v>1662</v>
      </c>
      <c r="G32" s="185">
        <v>8</v>
      </c>
    </row>
    <row r="33" spans="2:7">
      <c r="B33" s="185">
        <v>31</v>
      </c>
      <c r="C33" s="185" t="s">
        <v>1626</v>
      </c>
      <c r="D33" s="185" t="s">
        <v>1670</v>
      </c>
      <c r="E33" s="185" t="s">
        <v>1662</v>
      </c>
      <c r="F33" s="185" t="s">
        <v>1662</v>
      </c>
      <c r="G33" s="185">
        <v>8</v>
      </c>
    </row>
    <row r="34" spans="2:7">
      <c r="B34" s="185">
        <v>32</v>
      </c>
      <c r="C34" s="185" t="s">
        <v>1641</v>
      </c>
      <c r="D34" s="185" t="s">
        <v>1670</v>
      </c>
      <c r="E34" s="185" t="s">
        <v>1662</v>
      </c>
      <c r="F34" s="185" t="s">
        <v>1662</v>
      </c>
      <c r="G34" s="185">
        <v>8</v>
      </c>
    </row>
    <row r="35" spans="2:7">
      <c r="B35" s="185">
        <v>33</v>
      </c>
      <c r="C35" s="185" t="s">
        <v>1452</v>
      </c>
      <c r="D35" s="185" t="s">
        <v>1670</v>
      </c>
      <c r="E35" s="185" t="s">
        <v>1662</v>
      </c>
      <c r="F35" s="185" t="s">
        <v>1662</v>
      </c>
      <c r="G35" s="185">
        <v>7</v>
      </c>
    </row>
    <row r="36" spans="2:7">
      <c r="B36" s="185">
        <v>34</v>
      </c>
      <c r="C36" s="185" t="s">
        <v>1628</v>
      </c>
      <c r="D36" s="185" t="s">
        <v>1670</v>
      </c>
      <c r="E36" s="185" t="s">
        <v>1662</v>
      </c>
      <c r="F36" s="185" t="s">
        <v>1662</v>
      </c>
      <c r="G36" s="185">
        <v>7</v>
      </c>
    </row>
    <row r="37" spans="2:7">
      <c r="B37" s="185">
        <v>35</v>
      </c>
      <c r="C37" s="185" t="s">
        <v>2248</v>
      </c>
      <c r="D37" s="185" t="s">
        <v>1670</v>
      </c>
      <c r="E37" s="185" t="s">
        <v>1662</v>
      </c>
      <c r="F37" s="185" t="s">
        <v>1662</v>
      </c>
      <c r="G37" s="185">
        <v>2</v>
      </c>
    </row>
    <row r="38" spans="2:7">
      <c r="B38" s="185">
        <v>36</v>
      </c>
      <c r="C38" s="185" t="s">
        <v>1676</v>
      </c>
      <c r="D38" s="185" t="s">
        <v>1670</v>
      </c>
      <c r="E38" s="185" t="s">
        <v>1662</v>
      </c>
      <c r="F38" s="185" t="s">
        <v>1662</v>
      </c>
      <c r="G38" s="185">
        <v>2</v>
      </c>
    </row>
    <row r="39" spans="2:7">
      <c r="B39" s="185">
        <v>37</v>
      </c>
      <c r="C39" s="185" t="s">
        <v>2249</v>
      </c>
      <c r="D39" s="185" t="s">
        <v>1670</v>
      </c>
      <c r="E39" s="185" t="s">
        <v>1662</v>
      </c>
      <c r="F39" s="185" t="s">
        <v>1662</v>
      </c>
      <c r="G39" s="185">
        <v>2</v>
      </c>
    </row>
    <row r="40" spans="2:7">
      <c r="B40" s="185">
        <v>38</v>
      </c>
      <c r="C40" s="185" t="s">
        <v>1217</v>
      </c>
      <c r="D40" s="185" t="s">
        <v>1670</v>
      </c>
      <c r="E40" s="185" t="s">
        <v>3250</v>
      </c>
      <c r="F40" s="185" t="s">
        <v>1662</v>
      </c>
      <c r="G40" s="185">
        <v>6</v>
      </c>
    </row>
    <row r="41" spans="2:7">
      <c r="B41" s="185">
        <v>39</v>
      </c>
      <c r="C41" s="185" t="s">
        <v>1682</v>
      </c>
      <c r="D41" s="185" t="s">
        <v>1670</v>
      </c>
      <c r="E41" s="185" t="s">
        <v>1662</v>
      </c>
      <c r="F41" s="185" t="s">
        <v>1662</v>
      </c>
      <c r="G41" s="185">
        <v>4</v>
      </c>
    </row>
    <row r="42" spans="2:7">
      <c r="B42" s="185">
        <v>40</v>
      </c>
      <c r="C42" s="185" t="s">
        <v>970</v>
      </c>
      <c r="D42" s="185" t="s">
        <v>1670</v>
      </c>
      <c r="E42" s="185" t="s">
        <v>1662</v>
      </c>
      <c r="F42" s="185" t="s">
        <v>1662</v>
      </c>
      <c r="G42" s="185">
        <v>4</v>
      </c>
    </row>
    <row r="43" spans="2:7">
      <c r="B43" s="185">
        <v>41</v>
      </c>
      <c r="C43" s="185" t="s">
        <v>1590</v>
      </c>
      <c r="D43" s="185" t="s">
        <v>1670</v>
      </c>
      <c r="E43" s="185" t="s">
        <v>1662</v>
      </c>
      <c r="F43" s="185" t="s">
        <v>1662</v>
      </c>
      <c r="G43" s="185">
        <v>4</v>
      </c>
    </row>
    <row r="44" spans="2:7">
      <c r="B44" s="185">
        <v>42</v>
      </c>
      <c r="C44" s="185" t="s">
        <v>1677</v>
      </c>
      <c r="D44" s="185" t="s">
        <v>1670</v>
      </c>
      <c r="E44" s="185" t="s">
        <v>1662</v>
      </c>
      <c r="F44" s="185" t="s">
        <v>1662</v>
      </c>
      <c r="G44" s="185">
        <v>4</v>
      </c>
    </row>
    <row r="45" spans="2:7">
      <c r="B45" s="185">
        <v>43</v>
      </c>
      <c r="C45" s="185" t="s">
        <v>1583</v>
      </c>
      <c r="D45" s="185" t="s">
        <v>1670</v>
      </c>
      <c r="E45" s="185" t="s">
        <v>1662</v>
      </c>
      <c r="F45" s="185" t="s">
        <v>1662</v>
      </c>
      <c r="G45" s="231">
        <v>0</v>
      </c>
    </row>
    <row r="46" spans="2:7">
      <c r="B46" s="185">
        <v>44</v>
      </c>
      <c r="C46" s="185" t="s">
        <v>1664</v>
      </c>
      <c r="D46" s="185" t="s">
        <v>1670</v>
      </c>
      <c r="E46" s="185" t="s">
        <v>1662</v>
      </c>
      <c r="F46" s="185" t="s">
        <v>1662</v>
      </c>
      <c r="G46" s="231">
        <v>0</v>
      </c>
    </row>
    <row r="47" spans="2:7">
      <c r="B47" s="185">
        <v>45</v>
      </c>
      <c r="C47" s="185" t="s">
        <v>1663</v>
      </c>
      <c r="D47" s="185" t="s">
        <v>1670</v>
      </c>
      <c r="E47" s="185" t="s">
        <v>3151</v>
      </c>
      <c r="F47" s="185" t="s">
        <v>1662</v>
      </c>
      <c r="G47" s="231">
        <v>0</v>
      </c>
    </row>
    <row r="48" spans="2:7">
      <c r="B48" s="185">
        <v>46</v>
      </c>
      <c r="C48" s="185" t="s">
        <v>1678</v>
      </c>
      <c r="D48" s="185" t="s">
        <v>1670</v>
      </c>
      <c r="E48" s="185" t="s">
        <v>1662</v>
      </c>
      <c r="F48" s="185" t="s">
        <v>1662</v>
      </c>
      <c r="G48" s="231">
        <v>0</v>
      </c>
    </row>
    <row r="49" spans="2:7">
      <c r="B49" s="185">
        <v>47</v>
      </c>
      <c r="C49" s="185" t="s">
        <v>973</v>
      </c>
      <c r="D49" s="185" t="s">
        <v>1670</v>
      </c>
      <c r="E49" s="185" t="s">
        <v>1662</v>
      </c>
      <c r="F49" s="185" t="s">
        <v>1662</v>
      </c>
      <c r="G49" s="231">
        <v>0</v>
      </c>
    </row>
    <row r="50" spans="2:7">
      <c r="B50" s="185">
        <v>48</v>
      </c>
      <c r="C50" s="185" t="s">
        <v>1417</v>
      </c>
      <c r="D50" s="185" t="s">
        <v>1670</v>
      </c>
      <c r="E50" s="185" t="s">
        <v>1662</v>
      </c>
      <c r="F50" s="185" t="s">
        <v>1662</v>
      </c>
      <c r="G50" s="231">
        <v>0</v>
      </c>
    </row>
    <row r="51" spans="2:7">
      <c r="B51" s="185">
        <v>49</v>
      </c>
      <c r="C51" s="185" t="s">
        <v>1153</v>
      </c>
      <c r="D51" s="185" t="s">
        <v>1670</v>
      </c>
      <c r="E51" s="185" t="s">
        <v>1662</v>
      </c>
      <c r="F51" s="185" t="s">
        <v>1662</v>
      </c>
      <c r="G51" s="231">
        <v>0</v>
      </c>
    </row>
    <row r="52" spans="2:7">
      <c r="B52" s="185">
        <v>50</v>
      </c>
      <c r="C52" s="185" t="s">
        <v>1585</v>
      </c>
      <c r="D52" s="185" t="s">
        <v>1670</v>
      </c>
      <c r="E52" s="185" t="s">
        <v>1662</v>
      </c>
      <c r="F52" s="185" t="s">
        <v>1662</v>
      </c>
      <c r="G52" s="231">
        <v>0</v>
      </c>
    </row>
    <row r="53" spans="2:7">
      <c r="B53" s="185">
        <v>51</v>
      </c>
      <c r="C53" s="185" t="s">
        <v>1584</v>
      </c>
      <c r="D53" s="185" t="s">
        <v>1670</v>
      </c>
      <c r="E53" s="185" t="s">
        <v>1662</v>
      </c>
      <c r="F53" s="185" t="s">
        <v>1662</v>
      </c>
      <c r="G53" s="231">
        <v>0</v>
      </c>
    </row>
    <row r="54" spans="2:7">
      <c r="B54" s="185">
        <v>52</v>
      </c>
      <c r="C54" s="185" t="s">
        <v>1586</v>
      </c>
      <c r="D54" s="185" t="s">
        <v>1670</v>
      </c>
      <c r="E54" s="185" t="s">
        <v>1662</v>
      </c>
      <c r="F54" s="185" t="s">
        <v>1662</v>
      </c>
      <c r="G54" s="231">
        <v>0</v>
      </c>
    </row>
    <row r="55" spans="2:7">
      <c r="B55" s="185">
        <v>53</v>
      </c>
      <c r="C55" s="185" t="s">
        <v>623</v>
      </c>
      <c r="D55" s="185" t="s">
        <v>1670</v>
      </c>
      <c r="E55" s="185" t="s">
        <v>1662</v>
      </c>
      <c r="F55" s="185" t="s">
        <v>1662</v>
      </c>
      <c r="G55" s="231">
        <v>0</v>
      </c>
    </row>
    <row r="56" spans="2:7">
      <c r="B56" s="185">
        <v>54</v>
      </c>
      <c r="C56" s="185" t="s">
        <v>1582</v>
      </c>
      <c r="D56" s="185" t="s">
        <v>1670</v>
      </c>
      <c r="E56" s="185" t="s">
        <v>1662</v>
      </c>
      <c r="F56" s="185" t="s">
        <v>1662</v>
      </c>
      <c r="G56" s="231">
        <v>0</v>
      </c>
    </row>
    <row r="57" spans="2:7">
      <c r="B57" s="185">
        <v>55</v>
      </c>
      <c r="C57" s="185" t="s">
        <v>1602</v>
      </c>
      <c r="D57" s="185" t="s">
        <v>1670</v>
      </c>
      <c r="E57" s="185" t="s">
        <v>1662</v>
      </c>
      <c r="F57" s="185" t="s">
        <v>1662</v>
      </c>
      <c r="G57" s="231">
        <v>0</v>
      </c>
    </row>
    <row r="58" spans="2:7">
      <c r="B58" s="185">
        <v>56</v>
      </c>
      <c r="C58" s="185" t="s">
        <v>977</v>
      </c>
      <c r="D58" s="185" t="s">
        <v>1670</v>
      </c>
      <c r="E58" s="185" t="s">
        <v>1662</v>
      </c>
      <c r="F58" s="185" t="s">
        <v>1662</v>
      </c>
      <c r="G58" s="231">
        <v>0</v>
      </c>
    </row>
    <row r="59" spans="2:7">
      <c r="B59" s="185">
        <v>57</v>
      </c>
      <c r="C59" s="185" t="s">
        <v>23</v>
      </c>
      <c r="D59" s="185" t="s">
        <v>1670</v>
      </c>
      <c r="E59" s="185" t="s">
        <v>1662</v>
      </c>
      <c r="F59" s="185" t="s">
        <v>1662</v>
      </c>
      <c r="G59" s="231">
        <v>0</v>
      </c>
    </row>
    <row r="60" spans="2:7">
      <c r="B60" s="185">
        <v>58</v>
      </c>
      <c r="C60" s="185" t="s">
        <v>1605</v>
      </c>
      <c r="D60" s="185" t="s">
        <v>1670</v>
      </c>
      <c r="E60" s="185" t="s">
        <v>1662</v>
      </c>
      <c r="F60" s="185" t="s">
        <v>1662</v>
      </c>
      <c r="G60" s="231">
        <v>0</v>
      </c>
    </row>
    <row r="61" spans="2:7">
      <c r="B61" s="185">
        <v>59</v>
      </c>
      <c r="C61" s="185" t="s">
        <v>1443</v>
      </c>
      <c r="D61" s="185" t="s">
        <v>1670</v>
      </c>
      <c r="E61" s="185" t="s">
        <v>1662</v>
      </c>
      <c r="F61" s="185" t="s">
        <v>1662</v>
      </c>
      <c r="G61" s="231">
        <v>0</v>
      </c>
    </row>
    <row r="62" spans="2:7">
      <c r="B62" s="185">
        <v>60</v>
      </c>
      <c r="C62" s="185" t="s">
        <v>75</v>
      </c>
      <c r="D62" s="185" t="s">
        <v>1670</v>
      </c>
      <c r="E62" s="185" t="s">
        <v>1662</v>
      </c>
      <c r="F62" s="185" t="s">
        <v>1662</v>
      </c>
      <c r="G62" s="231">
        <v>0</v>
      </c>
    </row>
    <row r="63" spans="2:7">
      <c r="B63" s="185">
        <v>61</v>
      </c>
      <c r="C63" s="185" t="s">
        <v>1680</v>
      </c>
      <c r="D63" s="185" t="s">
        <v>1670</v>
      </c>
      <c r="E63" s="185" t="s">
        <v>3150</v>
      </c>
      <c r="F63" s="185" t="s">
        <v>1662</v>
      </c>
      <c r="G63" s="231">
        <v>0</v>
      </c>
    </row>
    <row r="64" spans="2:7">
      <c r="B64" s="185">
        <v>62</v>
      </c>
      <c r="C64" s="185" t="s">
        <v>1597</v>
      </c>
      <c r="D64" s="185" t="s">
        <v>1670</v>
      </c>
      <c r="E64" t="s">
        <v>3099</v>
      </c>
      <c r="F64" t="s">
        <v>3100</v>
      </c>
      <c r="G64" s="231">
        <v>0</v>
      </c>
    </row>
    <row r="65" spans="2:7">
      <c r="B65" s="185">
        <v>63</v>
      </c>
      <c r="C65" s="185" t="s">
        <v>1425</v>
      </c>
      <c r="D65" s="185" t="s">
        <v>1670</v>
      </c>
      <c r="F65" s="185" t="s">
        <v>1662</v>
      </c>
      <c r="G65" s="231">
        <v>0</v>
      </c>
    </row>
    <row r="66" spans="2:7">
      <c r="B66" s="185">
        <v>64</v>
      </c>
      <c r="C66" s="185" t="s">
        <v>1588</v>
      </c>
      <c r="D66" s="185" t="s">
        <v>1670</v>
      </c>
      <c r="E66" s="185" t="s">
        <v>1662</v>
      </c>
      <c r="F66" s="185" t="s">
        <v>1662</v>
      </c>
      <c r="G66" s="231">
        <v>0</v>
      </c>
    </row>
    <row r="67" spans="2:7">
      <c r="B67" s="185">
        <v>65</v>
      </c>
      <c r="C67" s="185" t="s">
        <v>1381</v>
      </c>
      <c r="D67" s="185" t="s">
        <v>1670</v>
      </c>
      <c r="E67" s="185" t="s">
        <v>3148</v>
      </c>
      <c r="F67" s="185" t="s">
        <v>1662</v>
      </c>
      <c r="G67" s="231">
        <v>0</v>
      </c>
    </row>
    <row r="68" spans="2:7">
      <c r="B68" s="185">
        <v>66</v>
      </c>
      <c r="C68" s="185" t="s">
        <v>1589</v>
      </c>
      <c r="D68" s="185" t="s">
        <v>1670</v>
      </c>
      <c r="E68" s="185" t="s">
        <v>1662</v>
      </c>
      <c r="F68" s="185" t="s">
        <v>1662</v>
      </c>
      <c r="G68" s="231">
        <v>0</v>
      </c>
    </row>
    <row r="69" spans="2:7">
      <c r="B69" s="185">
        <v>67</v>
      </c>
      <c r="C69" s="185" t="s">
        <v>1638</v>
      </c>
      <c r="D69" s="185" t="s">
        <v>1670</v>
      </c>
      <c r="E69" s="185" t="s">
        <v>1662</v>
      </c>
      <c r="F69" s="185" t="s">
        <v>1662</v>
      </c>
      <c r="G69" s="231">
        <v>0</v>
      </c>
    </row>
    <row r="70" spans="2:7">
      <c r="B70" s="185">
        <v>68</v>
      </c>
      <c r="C70" s="185" t="s">
        <v>1681</v>
      </c>
      <c r="D70" s="185" t="s">
        <v>1670</v>
      </c>
      <c r="E70" s="185" t="s">
        <v>1662</v>
      </c>
      <c r="F70" s="185" t="s">
        <v>1662</v>
      </c>
      <c r="G70" s="231">
        <v>0</v>
      </c>
    </row>
    <row r="71" spans="2:7">
      <c r="B71" s="185">
        <v>69</v>
      </c>
      <c r="C71" s="185" t="s">
        <v>1085</v>
      </c>
      <c r="D71" s="185" t="s">
        <v>1670</v>
      </c>
      <c r="E71" s="185" t="s">
        <v>1662</v>
      </c>
      <c r="F71" s="185" t="s">
        <v>1662</v>
      </c>
      <c r="G71" s="231">
        <v>0</v>
      </c>
    </row>
    <row r="72" spans="2:7">
      <c r="B72" s="185">
        <v>70</v>
      </c>
      <c r="C72" s="185" t="s">
        <v>1</v>
      </c>
      <c r="D72" s="185" t="s">
        <v>1670</v>
      </c>
      <c r="E72" s="185" t="s">
        <v>1662</v>
      </c>
      <c r="F72" s="185" t="s">
        <v>1662</v>
      </c>
      <c r="G72" s="231">
        <v>0</v>
      </c>
    </row>
    <row r="73" spans="2:7">
      <c r="B73" s="185">
        <v>71</v>
      </c>
      <c r="C73" s="185" t="s">
        <v>15</v>
      </c>
      <c r="D73" s="185" t="s">
        <v>1670</v>
      </c>
      <c r="E73" s="185" t="s">
        <v>1662</v>
      </c>
      <c r="F73" s="185" t="s">
        <v>1662</v>
      </c>
      <c r="G73" s="231">
        <v>0</v>
      </c>
    </row>
    <row r="74" spans="2:7">
      <c r="B74" s="185">
        <v>72</v>
      </c>
      <c r="C74" s="185" t="s">
        <v>11</v>
      </c>
      <c r="D74" s="185" t="s">
        <v>1670</v>
      </c>
      <c r="E74" s="185" t="s">
        <v>1662</v>
      </c>
      <c r="F74" s="185" t="s">
        <v>1662</v>
      </c>
      <c r="G74" s="231">
        <v>0</v>
      </c>
    </row>
    <row r="75" spans="2:7">
      <c r="B75" s="185">
        <v>73</v>
      </c>
      <c r="C75" s="185" t="s">
        <v>1427</v>
      </c>
      <c r="D75" s="185" t="s">
        <v>1670</v>
      </c>
      <c r="E75" s="185" t="s">
        <v>1662</v>
      </c>
      <c r="F75" s="185" t="s">
        <v>1662</v>
      </c>
      <c r="G75" s="231">
        <v>0</v>
      </c>
    </row>
    <row r="76" spans="2:7">
      <c r="B76" s="185">
        <v>74</v>
      </c>
      <c r="C76" s="185" t="s">
        <v>980</v>
      </c>
      <c r="D76" s="185" t="s">
        <v>1670</v>
      </c>
      <c r="E76" s="185" t="s">
        <v>1662</v>
      </c>
      <c r="F76" s="185" t="s">
        <v>1662</v>
      </c>
      <c r="G76" s="231">
        <v>0</v>
      </c>
    </row>
    <row r="77" spans="2:7">
      <c r="B77" s="185">
        <v>75</v>
      </c>
      <c r="C77" s="185" t="s">
        <v>1429</v>
      </c>
      <c r="D77" s="185" t="s">
        <v>1670</v>
      </c>
      <c r="E77" s="185" t="s">
        <v>1662</v>
      </c>
      <c r="F77" s="185" t="s">
        <v>1662</v>
      </c>
      <c r="G77" s="231">
        <v>0</v>
      </c>
    </row>
    <row r="78" spans="2:7">
      <c r="B78" s="185">
        <v>76</v>
      </c>
      <c r="C78" s="185" t="s">
        <v>1428</v>
      </c>
      <c r="D78" s="185" t="s">
        <v>1670</v>
      </c>
      <c r="E78" s="185" t="s">
        <v>1662</v>
      </c>
      <c r="F78" s="185" t="s">
        <v>1662</v>
      </c>
      <c r="G78" s="231">
        <v>0</v>
      </c>
    </row>
    <row r="79" spans="2:7">
      <c r="B79" s="185">
        <v>77</v>
      </c>
      <c r="C79" s="185" t="s">
        <v>1683</v>
      </c>
      <c r="D79" s="185" t="s">
        <v>1670</v>
      </c>
      <c r="E79" s="185" t="s">
        <v>3149</v>
      </c>
      <c r="F79" s="185" t="s">
        <v>1662</v>
      </c>
      <c r="G79" s="231">
        <v>0</v>
      </c>
    </row>
    <row r="80" spans="2:7">
      <c r="B80" s="185">
        <v>78</v>
      </c>
      <c r="C80" s="185" t="s">
        <v>527</v>
      </c>
      <c r="D80" s="185" t="s">
        <v>1670</v>
      </c>
      <c r="E80" s="185" t="s">
        <v>1662</v>
      </c>
      <c r="F80" s="185" t="s">
        <v>1662</v>
      </c>
      <c r="G80" s="231">
        <v>0</v>
      </c>
    </row>
    <row r="81" spans="2:7">
      <c r="B81" s="185">
        <v>79</v>
      </c>
      <c r="C81" s="185" t="s">
        <v>1592</v>
      </c>
      <c r="D81" s="185" t="s">
        <v>1670</v>
      </c>
      <c r="E81" s="185" t="s">
        <v>1662</v>
      </c>
      <c r="F81" s="185" t="s">
        <v>1662</v>
      </c>
      <c r="G81" s="231">
        <v>0</v>
      </c>
    </row>
    <row r="82" spans="2:7">
      <c r="B82" s="185">
        <v>80</v>
      </c>
      <c r="C82" s="185" t="s">
        <v>1434</v>
      </c>
      <c r="D82" s="185" t="s">
        <v>1670</v>
      </c>
      <c r="E82" s="185" t="s">
        <v>1662</v>
      </c>
      <c r="F82" s="185" t="s">
        <v>1662</v>
      </c>
      <c r="G82" s="231">
        <v>0</v>
      </c>
    </row>
    <row r="83" spans="2:7">
      <c r="B83" s="185">
        <v>81</v>
      </c>
      <c r="C83" s="185" t="s">
        <v>34</v>
      </c>
      <c r="D83" s="185" t="s">
        <v>1670</v>
      </c>
      <c r="E83" s="185" t="s">
        <v>1662</v>
      </c>
      <c r="F83" s="185" t="s">
        <v>1662</v>
      </c>
      <c r="G83" s="231">
        <v>0</v>
      </c>
    </row>
    <row r="84" spans="2:7">
      <c r="B84" s="185">
        <v>82</v>
      </c>
      <c r="C84" s="185" t="s">
        <v>18</v>
      </c>
      <c r="D84" s="185" t="s">
        <v>1670</v>
      </c>
      <c r="E84" s="185" t="s">
        <v>1662</v>
      </c>
      <c r="F84" s="185" t="s">
        <v>1662</v>
      </c>
      <c r="G84" s="231">
        <v>0</v>
      </c>
    </row>
    <row r="85" spans="2:7">
      <c r="B85" s="185">
        <v>83</v>
      </c>
      <c r="C85" s="185" t="s">
        <v>1593</v>
      </c>
      <c r="D85" s="185" t="s">
        <v>1670</v>
      </c>
      <c r="E85" s="185" t="s">
        <v>1662</v>
      </c>
      <c r="F85" s="185" t="s">
        <v>1662</v>
      </c>
      <c r="G85" s="231">
        <v>0</v>
      </c>
    </row>
    <row r="86" spans="2:7">
      <c r="B86" s="185">
        <v>84</v>
      </c>
      <c r="C86" s="185" t="s">
        <v>1594</v>
      </c>
      <c r="D86" s="185" t="s">
        <v>1670</v>
      </c>
      <c r="E86" s="185" t="s">
        <v>1662</v>
      </c>
      <c r="F86" s="185" t="s">
        <v>1662</v>
      </c>
      <c r="G86" s="231">
        <v>0</v>
      </c>
    </row>
    <row r="87" spans="2:7">
      <c r="B87" s="185">
        <v>85</v>
      </c>
      <c r="C87" s="185" t="s">
        <v>2239</v>
      </c>
      <c r="D87" s="185" t="s">
        <v>1670</v>
      </c>
      <c r="E87" s="185" t="s">
        <v>1662</v>
      </c>
      <c r="F87" s="185" t="s">
        <v>1662</v>
      </c>
      <c r="G87" s="231">
        <v>0</v>
      </c>
    </row>
    <row r="88" spans="2:7">
      <c r="B88" s="185">
        <v>86</v>
      </c>
      <c r="C88" s="185" t="s">
        <v>1436</v>
      </c>
      <c r="D88" s="185" t="s">
        <v>1670</v>
      </c>
      <c r="E88" s="185" t="s">
        <v>1662</v>
      </c>
      <c r="F88" s="185" t="s">
        <v>1662</v>
      </c>
      <c r="G88" s="231">
        <v>0</v>
      </c>
    </row>
    <row r="89" spans="2:7">
      <c r="B89" s="185">
        <v>87</v>
      </c>
      <c r="C89" s="185" t="s">
        <v>1687</v>
      </c>
      <c r="D89" s="185" t="s">
        <v>1670</v>
      </c>
      <c r="E89" s="185" t="s">
        <v>1662</v>
      </c>
      <c r="F89" s="185" t="s">
        <v>1662</v>
      </c>
      <c r="G89" s="231">
        <v>0</v>
      </c>
    </row>
    <row r="90" spans="2:7">
      <c r="B90" s="185">
        <v>88</v>
      </c>
      <c r="C90" s="185" t="s">
        <v>1688</v>
      </c>
      <c r="D90" s="185" t="s">
        <v>1670</v>
      </c>
      <c r="E90" s="185" t="s">
        <v>1662</v>
      </c>
      <c r="F90" s="185" t="s">
        <v>1662</v>
      </c>
      <c r="G90" s="231">
        <v>0</v>
      </c>
    </row>
    <row r="91" spans="2:7">
      <c r="B91" s="185">
        <v>89</v>
      </c>
      <c r="C91" s="185" t="s">
        <v>1066</v>
      </c>
      <c r="D91" s="185" t="s">
        <v>1670</v>
      </c>
      <c r="E91" s="185" t="s">
        <v>1662</v>
      </c>
      <c r="F91" s="185" t="s">
        <v>1662</v>
      </c>
      <c r="G91" s="231">
        <v>0</v>
      </c>
    </row>
    <row r="92" spans="2:7">
      <c r="B92" s="185">
        <v>90</v>
      </c>
      <c r="C92" s="185" t="s">
        <v>26</v>
      </c>
      <c r="D92" s="185" t="s">
        <v>1670</v>
      </c>
      <c r="E92" s="185" t="s">
        <v>1662</v>
      </c>
      <c r="F92" s="185" t="s">
        <v>1662</v>
      </c>
      <c r="G92" s="231">
        <v>0</v>
      </c>
    </row>
    <row r="93" spans="2:7">
      <c r="B93" s="185">
        <v>91</v>
      </c>
      <c r="C93" s="185" t="s">
        <v>144</v>
      </c>
      <c r="D93" s="185" t="s">
        <v>1670</v>
      </c>
      <c r="E93" s="185" t="s">
        <v>1662</v>
      </c>
      <c r="F93" s="185" t="s">
        <v>1662</v>
      </c>
      <c r="G93" s="231">
        <v>0</v>
      </c>
    </row>
    <row r="94" spans="2:7">
      <c r="B94" s="185">
        <v>92</v>
      </c>
      <c r="C94" s="185" t="s">
        <v>1598</v>
      </c>
      <c r="D94" s="185" t="s">
        <v>1670</v>
      </c>
      <c r="E94" s="185" t="s">
        <v>1662</v>
      </c>
      <c r="F94" s="185" t="s">
        <v>1662</v>
      </c>
      <c r="G94" s="231">
        <v>0</v>
      </c>
    </row>
    <row r="95" spans="2:7">
      <c r="B95" s="185">
        <v>93</v>
      </c>
      <c r="C95" s="185" t="s">
        <v>143</v>
      </c>
      <c r="D95" s="185" t="s">
        <v>1670</v>
      </c>
      <c r="E95" s="185" t="s">
        <v>1662</v>
      </c>
      <c r="F95" s="185" t="s">
        <v>1662</v>
      </c>
      <c r="G95" s="231">
        <v>0</v>
      </c>
    </row>
    <row r="96" spans="2:7">
      <c r="B96" s="185">
        <v>94</v>
      </c>
      <c r="C96" s="185" t="s">
        <v>1690</v>
      </c>
      <c r="D96" s="185" t="s">
        <v>1670</v>
      </c>
      <c r="E96" s="185" t="s">
        <v>1662</v>
      </c>
      <c r="F96" s="185" t="s">
        <v>1662</v>
      </c>
      <c r="G96" s="231">
        <v>0</v>
      </c>
    </row>
    <row r="97" spans="2:7">
      <c r="B97" s="185">
        <v>95</v>
      </c>
      <c r="C97" s="185" t="s">
        <v>1601</v>
      </c>
      <c r="D97" s="185" t="s">
        <v>1670</v>
      </c>
      <c r="E97" s="185" t="s">
        <v>1662</v>
      </c>
      <c r="F97" s="185" t="s">
        <v>1662</v>
      </c>
      <c r="G97" s="231">
        <v>0</v>
      </c>
    </row>
    <row r="98" spans="2:7">
      <c r="B98" s="185">
        <v>96</v>
      </c>
      <c r="C98" s="185" t="s">
        <v>29</v>
      </c>
      <c r="D98" s="185" t="s">
        <v>1670</v>
      </c>
      <c r="E98" s="185" t="s">
        <v>1662</v>
      </c>
      <c r="F98" s="185" t="s">
        <v>1662</v>
      </c>
      <c r="G98" s="231">
        <v>0</v>
      </c>
    </row>
    <row r="99" spans="2:7">
      <c r="B99" s="185">
        <v>97</v>
      </c>
      <c r="C99" s="185" t="s">
        <v>2493</v>
      </c>
      <c r="D99" s="185" t="s">
        <v>1670</v>
      </c>
      <c r="E99" s="185" t="s">
        <v>1662</v>
      </c>
      <c r="F99" s="185" t="s">
        <v>1662</v>
      </c>
      <c r="G99" s="231">
        <v>0</v>
      </c>
    </row>
    <row r="100" spans="2:7">
      <c r="B100" s="185">
        <v>98</v>
      </c>
      <c r="C100" s="185" t="s">
        <v>1691</v>
      </c>
      <c r="D100" s="185" t="s">
        <v>1670</v>
      </c>
      <c r="E100" s="185" t="s">
        <v>1662</v>
      </c>
      <c r="F100" s="185" t="s">
        <v>1662</v>
      </c>
      <c r="G100" s="231">
        <v>0</v>
      </c>
    </row>
    <row r="101" spans="2:7">
      <c r="B101" s="185">
        <v>99</v>
      </c>
      <c r="C101" s="185" t="s">
        <v>159</v>
      </c>
      <c r="D101" s="185" t="s">
        <v>1670</v>
      </c>
      <c r="E101" s="185" t="s">
        <v>1662</v>
      </c>
      <c r="F101" s="185" t="s">
        <v>1662</v>
      </c>
      <c r="G101" s="231">
        <v>0</v>
      </c>
    </row>
    <row r="102" spans="2:7">
      <c r="B102" s="185">
        <v>100</v>
      </c>
      <c r="C102" s="185" t="s">
        <v>160</v>
      </c>
      <c r="D102" s="185" t="s">
        <v>1670</v>
      </c>
      <c r="E102" s="185" t="s">
        <v>1662</v>
      </c>
      <c r="F102" s="185" t="s">
        <v>1662</v>
      </c>
      <c r="G102" s="231">
        <v>0</v>
      </c>
    </row>
    <row r="103" spans="2:7">
      <c r="B103" s="185">
        <v>101</v>
      </c>
      <c r="C103" s="185" t="s">
        <v>1403</v>
      </c>
      <c r="D103" s="185" t="s">
        <v>1670</v>
      </c>
      <c r="E103" s="185" t="s">
        <v>3235</v>
      </c>
      <c r="F103" s="185" t="s">
        <v>1662</v>
      </c>
      <c r="G103" s="231">
        <v>5</v>
      </c>
    </row>
    <row r="104" spans="2:7">
      <c r="B104" s="185">
        <v>102</v>
      </c>
      <c r="C104" s="185" t="s">
        <v>2250</v>
      </c>
      <c r="D104" s="185" t="s">
        <v>1670</v>
      </c>
      <c r="E104" s="185" t="s">
        <v>3236</v>
      </c>
      <c r="F104" s="185" t="s">
        <v>1662</v>
      </c>
      <c r="G104" s="231">
        <v>5</v>
      </c>
    </row>
    <row r="105" spans="2:7">
      <c r="B105" s="185">
        <v>103</v>
      </c>
      <c r="C105" s="185" t="s">
        <v>1689</v>
      </c>
      <c r="D105" s="185" t="s">
        <v>1670</v>
      </c>
      <c r="E105" s="185" t="s">
        <v>1662</v>
      </c>
      <c r="F105" s="185" t="s">
        <v>1662</v>
      </c>
      <c r="G105" s="231">
        <v>0</v>
      </c>
    </row>
    <row r="106" spans="2:7">
      <c r="B106" s="185">
        <v>104</v>
      </c>
      <c r="C106" s="185" t="s">
        <v>1692</v>
      </c>
      <c r="D106" s="185" t="s">
        <v>1670</v>
      </c>
      <c r="E106" s="185" t="s">
        <v>1662</v>
      </c>
      <c r="F106" s="185" t="s">
        <v>1662</v>
      </c>
      <c r="G106" s="231">
        <v>0</v>
      </c>
    </row>
    <row r="107" spans="2:7">
      <c r="B107" s="185">
        <v>105</v>
      </c>
      <c r="C107" s="185" t="s">
        <v>455</v>
      </c>
      <c r="D107" s="185" t="s">
        <v>1670</v>
      </c>
      <c r="E107" s="185" t="s">
        <v>1662</v>
      </c>
      <c r="F107" s="185" t="s">
        <v>1662</v>
      </c>
      <c r="G107" s="231">
        <v>0</v>
      </c>
    </row>
    <row r="108" spans="2:7">
      <c r="B108" s="185">
        <v>106</v>
      </c>
      <c r="C108" s="185" t="s">
        <v>973</v>
      </c>
      <c r="D108" s="185" t="s">
        <v>1670</v>
      </c>
      <c r="E108" s="185" t="s">
        <v>1662</v>
      </c>
      <c r="F108" s="185" t="s">
        <v>1662</v>
      </c>
      <c r="G108" s="231">
        <v>0</v>
      </c>
    </row>
    <row r="109" spans="2:7">
      <c r="B109" s="185">
        <v>107</v>
      </c>
      <c r="C109" s="185" t="s">
        <v>1010</v>
      </c>
      <c r="D109" s="185" t="s">
        <v>1670</v>
      </c>
      <c r="E109" s="185" t="s">
        <v>1662</v>
      </c>
      <c r="F109" s="185" t="s">
        <v>1662</v>
      </c>
      <c r="G109" s="231">
        <v>0</v>
      </c>
    </row>
    <row r="110" spans="2:7">
      <c r="B110" s="185">
        <v>108</v>
      </c>
      <c r="C110" s="185" t="s">
        <v>2251</v>
      </c>
      <c r="D110" s="185" t="s">
        <v>1670</v>
      </c>
      <c r="E110" s="185" t="s">
        <v>1662</v>
      </c>
      <c r="F110" s="185" t="s">
        <v>1662</v>
      </c>
      <c r="G110" s="185">
        <v>1</v>
      </c>
    </row>
    <row r="111" spans="2:7">
      <c r="B111" s="185">
        <v>109</v>
      </c>
      <c r="C111" s="185" t="s">
        <v>1599</v>
      </c>
      <c r="D111" s="185" t="s">
        <v>1670</v>
      </c>
      <c r="E111" s="185" t="s">
        <v>1662</v>
      </c>
      <c r="F111" s="185" t="s">
        <v>1662</v>
      </c>
      <c r="G111" s="185">
        <v>1</v>
      </c>
    </row>
    <row r="112" spans="2:7">
      <c r="B112" s="185">
        <v>110</v>
      </c>
      <c r="C112" s="185" t="s">
        <v>2252</v>
      </c>
      <c r="D112" s="185" t="s">
        <v>1670</v>
      </c>
      <c r="E112" s="185" t="s">
        <v>1662</v>
      </c>
      <c r="F112" s="185" t="s">
        <v>1662</v>
      </c>
      <c r="G112" s="185">
        <v>0</v>
      </c>
    </row>
    <row r="113" spans="2:7">
      <c r="B113" s="185">
        <v>111</v>
      </c>
      <c r="C113" s="185" t="s">
        <v>1665</v>
      </c>
      <c r="D113" s="185" t="s">
        <v>1670</v>
      </c>
      <c r="E113" s="185" t="s">
        <v>1662</v>
      </c>
      <c r="F113" s="185" t="s">
        <v>1662</v>
      </c>
      <c r="G113" s="185">
        <v>0</v>
      </c>
    </row>
    <row r="114" spans="2:7">
      <c r="B114" s="185">
        <v>112</v>
      </c>
      <c r="C114" s="185" t="s">
        <v>1666</v>
      </c>
      <c r="D114" s="185" t="s">
        <v>1670</v>
      </c>
      <c r="E114" s="185" t="s">
        <v>1662</v>
      </c>
      <c r="F114" s="185" t="s">
        <v>1662</v>
      </c>
      <c r="G114" s="185">
        <v>1</v>
      </c>
    </row>
    <row r="115" spans="2:7">
      <c r="B115" s="185">
        <v>113</v>
      </c>
      <c r="C115" s="185" t="s">
        <v>2234</v>
      </c>
      <c r="D115" s="185" t="s">
        <v>1670</v>
      </c>
      <c r="E115" s="185" t="s">
        <v>1662</v>
      </c>
      <c r="F115" s="185" t="s">
        <v>1662</v>
      </c>
      <c r="G115" s="231">
        <v>0</v>
      </c>
    </row>
    <row r="116" spans="2:7">
      <c r="B116" s="185">
        <v>114</v>
      </c>
      <c r="C116" s="185" t="s">
        <v>2674</v>
      </c>
      <c r="D116" s="185" t="s">
        <v>1670</v>
      </c>
      <c r="E116" s="185" t="s">
        <v>1662</v>
      </c>
      <c r="F116" s="185" t="s">
        <v>1662</v>
      </c>
      <c r="G116" s="231">
        <v>0</v>
      </c>
    </row>
    <row r="117" spans="2:7">
      <c r="B117" s="185">
        <v>115</v>
      </c>
      <c r="C117" s="185" t="s">
        <v>2675</v>
      </c>
      <c r="D117" s="185" t="s">
        <v>1670</v>
      </c>
      <c r="E117" s="185" t="s">
        <v>1662</v>
      </c>
      <c r="F117" s="185" t="s">
        <v>1662</v>
      </c>
      <c r="G117" s="231">
        <v>0</v>
      </c>
    </row>
    <row r="118" spans="2:7">
      <c r="B118" s="185">
        <v>116</v>
      </c>
      <c r="C118" s="185" t="s">
        <v>299</v>
      </c>
      <c r="D118" s="185" t="s">
        <v>1670</v>
      </c>
      <c r="E118" s="185" t="s">
        <v>1662</v>
      </c>
      <c r="F118" s="185" t="s">
        <v>1662</v>
      </c>
      <c r="G118" s="231">
        <v>0</v>
      </c>
    </row>
    <row r="119" spans="2:7">
      <c r="B119" s="185">
        <v>117</v>
      </c>
      <c r="C119" s="185" t="s">
        <v>1750</v>
      </c>
      <c r="D119" s="185" t="s">
        <v>1670</v>
      </c>
      <c r="E119" s="185" t="s">
        <v>1662</v>
      </c>
      <c r="F119" s="185" t="s">
        <v>1662</v>
      </c>
      <c r="G119" s="231">
        <v>0</v>
      </c>
    </row>
    <row r="120" spans="2:7">
      <c r="B120" s="185">
        <v>118</v>
      </c>
      <c r="C120" s="185" t="s">
        <v>2676</v>
      </c>
      <c r="D120" s="185" t="s">
        <v>1670</v>
      </c>
      <c r="E120" s="185" t="s">
        <v>1662</v>
      </c>
      <c r="F120" s="185" t="s">
        <v>1662</v>
      </c>
      <c r="G120" s="231">
        <v>0</v>
      </c>
    </row>
    <row r="121" spans="2:7">
      <c r="B121" s="185">
        <v>119</v>
      </c>
      <c r="C121" s="185" t="s">
        <v>367</v>
      </c>
      <c r="D121" s="185" t="s">
        <v>1670</v>
      </c>
      <c r="E121" s="185" t="s">
        <v>1662</v>
      </c>
      <c r="F121" s="185" t="s">
        <v>1662</v>
      </c>
      <c r="G121" s="231">
        <v>0</v>
      </c>
    </row>
    <row r="122" spans="2:7">
      <c r="B122" s="185">
        <v>120</v>
      </c>
      <c r="C122" s="185" t="s">
        <v>412</v>
      </c>
      <c r="D122" s="185" t="s">
        <v>1670</v>
      </c>
      <c r="E122" s="185" t="s">
        <v>1662</v>
      </c>
      <c r="F122" s="185" t="s">
        <v>1662</v>
      </c>
      <c r="G122" s="231">
        <v>0</v>
      </c>
    </row>
    <row r="123" spans="2:7">
      <c r="B123" s="185">
        <v>121</v>
      </c>
      <c r="C123" s="185" t="s">
        <v>2495</v>
      </c>
      <c r="D123" s="185" t="s">
        <v>1670</v>
      </c>
      <c r="E123" s="185" t="s">
        <v>1662</v>
      </c>
      <c r="F123" s="185" t="s">
        <v>1662</v>
      </c>
      <c r="G123" s="231">
        <v>0</v>
      </c>
    </row>
    <row r="124" spans="2:7">
      <c r="B124" s="185">
        <v>122</v>
      </c>
      <c r="C124" s="185" t="s">
        <v>461</v>
      </c>
      <c r="D124" s="185" t="s">
        <v>1670</v>
      </c>
      <c r="E124" s="185" t="s">
        <v>1662</v>
      </c>
      <c r="F124" s="185" t="s">
        <v>1662</v>
      </c>
      <c r="G124" s="231">
        <v>0</v>
      </c>
    </row>
    <row r="125" spans="2:7">
      <c r="B125" s="185">
        <v>123</v>
      </c>
      <c r="C125" s="185" t="s">
        <v>328</v>
      </c>
      <c r="D125" s="185" t="s">
        <v>1670</v>
      </c>
      <c r="E125" s="185" t="s">
        <v>1662</v>
      </c>
      <c r="F125" s="185" t="s">
        <v>1662</v>
      </c>
      <c r="G125" s="231">
        <v>0</v>
      </c>
    </row>
    <row r="126" spans="2:7">
      <c r="B126" s="185">
        <v>124</v>
      </c>
      <c r="C126" s="185" t="s">
        <v>2657</v>
      </c>
      <c r="D126" s="185" t="s">
        <v>1670</v>
      </c>
      <c r="E126" s="185" t="s">
        <v>1662</v>
      </c>
      <c r="F126" s="185" t="s">
        <v>1662</v>
      </c>
      <c r="G126" s="231">
        <v>0</v>
      </c>
    </row>
    <row r="127" spans="2:7">
      <c r="B127" s="185">
        <v>125</v>
      </c>
      <c r="C127" s="185" t="s">
        <v>1849</v>
      </c>
      <c r="D127" s="185" t="s">
        <v>1670</v>
      </c>
      <c r="E127" s="185" t="s">
        <v>1662</v>
      </c>
      <c r="F127" s="185" t="s">
        <v>1662</v>
      </c>
      <c r="G127" s="231">
        <v>0</v>
      </c>
    </row>
    <row r="128" spans="2:7">
      <c r="B128" s="185">
        <v>126</v>
      </c>
      <c r="C128" s="185" t="s">
        <v>2678</v>
      </c>
      <c r="D128" s="185" t="s">
        <v>1670</v>
      </c>
      <c r="E128" s="185" t="s">
        <v>1662</v>
      </c>
      <c r="F128" s="185" t="s">
        <v>1662</v>
      </c>
      <c r="G128" s="231">
        <v>0</v>
      </c>
    </row>
    <row r="129" spans="2:7">
      <c r="B129" s="185">
        <v>127</v>
      </c>
      <c r="C129" s="185" t="s">
        <v>1877</v>
      </c>
      <c r="D129" s="185" t="s">
        <v>1670</v>
      </c>
      <c r="E129" s="185" t="s">
        <v>1662</v>
      </c>
      <c r="F129" s="185" t="s">
        <v>1662</v>
      </c>
      <c r="G129" s="231">
        <v>0</v>
      </c>
    </row>
    <row r="130" spans="2:7">
      <c r="B130" s="185">
        <v>128</v>
      </c>
      <c r="C130" s="185" t="s">
        <v>440</v>
      </c>
      <c r="D130" s="185" t="s">
        <v>1670</v>
      </c>
      <c r="E130" s="185" t="s">
        <v>1662</v>
      </c>
      <c r="F130" s="185" t="s">
        <v>1662</v>
      </c>
      <c r="G130" s="231">
        <v>0</v>
      </c>
    </row>
    <row r="131" spans="2:7">
      <c r="B131" s="185">
        <v>129</v>
      </c>
      <c r="C131" s="185" t="s">
        <v>2679</v>
      </c>
      <c r="D131" s="185" t="s">
        <v>1670</v>
      </c>
      <c r="E131" s="185" t="s">
        <v>1662</v>
      </c>
      <c r="F131" s="185" t="s">
        <v>1662</v>
      </c>
      <c r="G131" s="231">
        <v>0</v>
      </c>
    </row>
    <row r="132" spans="2:7">
      <c r="B132" s="185">
        <v>130</v>
      </c>
      <c r="C132" s="185" t="s">
        <v>2677</v>
      </c>
      <c r="D132" s="185" t="s">
        <v>1670</v>
      </c>
      <c r="E132" s="185" t="s">
        <v>1662</v>
      </c>
      <c r="F132" s="185" t="s">
        <v>1662</v>
      </c>
      <c r="G132" s="231">
        <v>0</v>
      </c>
    </row>
    <row r="133" spans="2:7">
      <c r="B133" s="185">
        <v>131</v>
      </c>
      <c r="C133" s="185" t="s">
        <v>1975</v>
      </c>
      <c r="D133" s="185" t="s">
        <v>1670</v>
      </c>
      <c r="E133" s="185" t="s">
        <v>1662</v>
      </c>
      <c r="F133" s="185" t="s">
        <v>1662</v>
      </c>
      <c r="G133" s="231">
        <v>0</v>
      </c>
    </row>
    <row r="134" spans="2:7">
      <c r="B134" s="185">
        <v>132</v>
      </c>
      <c r="C134" s="185" t="s">
        <v>389</v>
      </c>
      <c r="D134" s="185" t="s">
        <v>1670</v>
      </c>
      <c r="E134" s="185" t="s">
        <v>1662</v>
      </c>
      <c r="F134" s="185" t="s">
        <v>1662</v>
      </c>
      <c r="G134" s="231">
        <v>0</v>
      </c>
    </row>
    <row r="135" spans="2:7">
      <c r="B135" s="185">
        <v>133</v>
      </c>
      <c r="C135" s="185" t="s">
        <v>2659</v>
      </c>
      <c r="D135" s="185" t="s">
        <v>1670</v>
      </c>
      <c r="E135" s="185" t="s">
        <v>1662</v>
      </c>
      <c r="F135" s="185" t="s">
        <v>1662</v>
      </c>
      <c r="G135" s="231">
        <v>0</v>
      </c>
    </row>
    <row r="136" spans="2:7">
      <c r="B136" s="185">
        <v>134</v>
      </c>
      <c r="C136" s="185" t="s">
        <v>395</v>
      </c>
      <c r="D136" s="185" t="s">
        <v>1670</v>
      </c>
      <c r="E136" s="185" t="s">
        <v>1662</v>
      </c>
      <c r="F136" s="185" t="s">
        <v>1662</v>
      </c>
      <c r="G136" s="231">
        <v>0</v>
      </c>
    </row>
    <row r="137" spans="2:7">
      <c r="B137" s="185">
        <v>135</v>
      </c>
      <c r="C137" s="185" t="s">
        <v>1734</v>
      </c>
      <c r="D137" s="185" t="s">
        <v>1670</v>
      </c>
      <c r="E137" s="185" t="s">
        <v>1662</v>
      </c>
      <c r="F137" s="185" t="s">
        <v>1662</v>
      </c>
      <c r="G137" s="185">
        <v>1</v>
      </c>
    </row>
    <row r="138" spans="2:7">
      <c r="B138" s="185">
        <v>136</v>
      </c>
      <c r="C138" s="185" t="s">
        <v>1759</v>
      </c>
      <c r="D138" s="185" t="s">
        <v>1670</v>
      </c>
      <c r="E138" s="185" t="s">
        <v>1662</v>
      </c>
      <c r="F138" s="185" t="s">
        <v>1662</v>
      </c>
      <c r="G138" s="185">
        <v>1</v>
      </c>
    </row>
    <row r="139" spans="2:7">
      <c r="B139" s="185">
        <v>137</v>
      </c>
      <c r="C139" s="185" t="s">
        <v>735</v>
      </c>
      <c r="D139" s="185" t="s">
        <v>1670</v>
      </c>
      <c r="E139" s="185" t="s">
        <v>1662</v>
      </c>
      <c r="F139" s="185" t="s">
        <v>1662</v>
      </c>
      <c r="G139" s="231">
        <v>0</v>
      </c>
    </row>
    <row r="140" spans="2:7">
      <c r="B140" s="185">
        <v>138</v>
      </c>
      <c r="C140" s="185" t="s">
        <v>352</v>
      </c>
      <c r="D140" s="185" t="s">
        <v>1670</v>
      </c>
      <c r="E140" s="185" t="s">
        <v>1662</v>
      </c>
      <c r="F140" s="185" t="s">
        <v>1662</v>
      </c>
      <c r="G140" s="231">
        <v>0</v>
      </c>
    </row>
    <row r="141" spans="2:7">
      <c r="B141" s="185">
        <v>139</v>
      </c>
      <c r="C141" s="185" t="s">
        <v>397</v>
      </c>
      <c r="D141" s="185" t="s">
        <v>1670</v>
      </c>
      <c r="E141" s="185" t="s">
        <v>1662</v>
      </c>
      <c r="F141" s="185" t="s">
        <v>1662</v>
      </c>
      <c r="G141" s="231">
        <v>0</v>
      </c>
    </row>
    <row r="142" spans="2:7">
      <c r="B142" s="185">
        <v>140</v>
      </c>
      <c r="C142" s="185" t="s">
        <v>358</v>
      </c>
      <c r="D142" s="185" t="s">
        <v>1670</v>
      </c>
      <c r="E142" s="185" t="s">
        <v>1662</v>
      </c>
      <c r="F142" s="185" t="s">
        <v>1662</v>
      </c>
      <c r="G142" s="231">
        <v>0</v>
      </c>
    </row>
    <row r="143" spans="2:7">
      <c r="B143" s="185">
        <v>141</v>
      </c>
      <c r="C143" s="185" t="s">
        <v>402</v>
      </c>
      <c r="D143" s="185" t="s">
        <v>1670</v>
      </c>
      <c r="E143" s="185" t="s">
        <v>1662</v>
      </c>
      <c r="F143" s="185" t="s">
        <v>1662</v>
      </c>
      <c r="G143" s="231">
        <v>0</v>
      </c>
    </row>
    <row r="144" spans="2:7">
      <c r="B144" s="185">
        <v>142</v>
      </c>
      <c r="C144" s="185" t="s">
        <v>442</v>
      </c>
      <c r="D144" s="185" t="s">
        <v>1670</v>
      </c>
      <c r="E144" s="185" t="s">
        <v>1662</v>
      </c>
      <c r="F144" s="185" t="s">
        <v>1662</v>
      </c>
      <c r="G144" s="231">
        <v>0</v>
      </c>
    </row>
    <row r="145" spans="2:7">
      <c r="B145" s="185">
        <v>143</v>
      </c>
      <c r="C145" s="185" t="s">
        <v>2660</v>
      </c>
      <c r="D145" s="185" t="s">
        <v>1670</v>
      </c>
      <c r="E145" s="185" t="s">
        <v>1662</v>
      </c>
      <c r="F145" s="185" t="s">
        <v>1662</v>
      </c>
      <c r="G145" s="231">
        <v>0</v>
      </c>
    </row>
    <row r="146" spans="2:7">
      <c r="B146" s="185">
        <v>144</v>
      </c>
      <c r="C146" s="185" t="s">
        <v>472</v>
      </c>
      <c r="D146" s="185" t="s">
        <v>1670</v>
      </c>
      <c r="E146" s="185" t="s">
        <v>1662</v>
      </c>
      <c r="F146" s="185" t="s">
        <v>1662</v>
      </c>
      <c r="G146" s="231">
        <v>0</v>
      </c>
    </row>
    <row r="147" spans="2:7">
      <c r="B147" s="185">
        <v>145</v>
      </c>
      <c r="C147" s="185" t="s">
        <v>477</v>
      </c>
      <c r="D147" s="185" t="s">
        <v>1670</v>
      </c>
      <c r="E147" s="185" t="s">
        <v>1662</v>
      </c>
      <c r="F147" s="185" t="s">
        <v>1662</v>
      </c>
      <c r="G147" s="231">
        <v>0</v>
      </c>
    </row>
    <row r="148" spans="2:7">
      <c r="B148" s="185">
        <v>146</v>
      </c>
      <c r="C148" s="185" t="s">
        <v>659</v>
      </c>
      <c r="D148" s="185" t="s">
        <v>1670</v>
      </c>
      <c r="E148" s="185" t="s">
        <v>1662</v>
      </c>
      <c r="F148" s="185" t="s">
        <v>1662</v>
      </c>
      <c r="G148" s="231">
        <v>0</v>
      </c>
    </row>
    <row r="149" spans="2:7">
      <c r="B149" s="185">
        <v>147</v>
      </c>
      <c r="C149" s="185" t="s">
        <v>1936</v>
      </c>
      <c r="D149" s="185" t="s">
        <v>1670</v>
      </c>
      <c r="E149" s="185" t="s">
        <v>1662</v>
      </c>
      <c r="F149" s="185" t="s">
        <v>1662</v>
      </c>
      <c r="G149" s="231">
        <v>0</v>
      </c>
    </row>
    <row r="150" spans="2:7">
      <c r="B150" s="185">
        <v>148</v>
      </c>
      <c r="C150" s="185" t="s">
        <v>2666</v>
      </c>
      <c r="D150" s="185" t="s">
        <v>1670</v>
      </c>
      <c r="E150" s="185" t="s">
        <v>1662</v>
      </c>
      <c r="F150" s="185" t="s">
        <v>1662</v>
      </c>
      <c r="G150" s="231">
        <v>0</v>
      </c>
    </row>
    <row r="151" spans="2:7">
      <c r="B151" s="185">
        <v>149</v>
      </c>
      <c r="C151" s="185" t="s">
        <v>458</v>
      </c>
      <c r="D151" s="185" t="s">
        <v>1670</v>
      </c>
      <c r="E151" s="185" t="s">
        <v>1662</v>
      </c>
      <c r="F151" s="185" t="s">
        <v>1662</v>
      </c>
      <c r="G151" s="231">
        <v>0</v>
      </c>
    </row>
    <row r="152" spans="2:7">
      <c r="B152" s="185">
        <v>150</v>
      </c>
      <c r="C152" s="185" t="s">
        <v>2064</v>
      </c>
      <c r="D152" s="185" t="s">
        <v>1670</v>
      </c>
      <c r="E152" s="185" t="s">
        <v>1662</v>
      </c>
      <c r="F152" s="185" t="s">
        <v>1662</v>
      </c>
      <c r="G152" s="231">
        <v>0</v>
      </c>
    </row>
    <row r="153" spans="2:7">
      <c r="B153" s="185">
        <v>151</v>
      </c>
      <c r="C153" s="185" t="s">
        <v>2668</v>
      </c>
      <c r="D153" s="185" t="s">
        <v>1670</v>
      </c>
      <c r="E153" s="185" t="s">
        <v>1662</v>
      </c>
      <c r="F153" s="185" t="s">
        <v>1662</v>
      </c>
      <c r="G153" s="231">
        <v>0</v>
      </c>
    </row>
    <row r="154" spans="2:7">
      <c r="B154" s="185">
        <v>152</v>
      </c>
      <c r="C154" s="185" t="s">
        <v>2673</v>
      </c>
      <c r="D154" s="185" t="s">
        <v>1670</v>
      </c>
      <c r="E154" s="185" t="s">
        <v>1662</v>
      </c>
      <c r="F154" s="185" t="s">
        <v>1662</v>
      </c>
      <c r="G154" s="231">
        <v>0</v>
      </c>
    </row>
    <row r="155" spans="2:7">
      <c r="B155" s="185">
        <v>153</v>
      </c>
      <c r="C155" s="185" t="s">
        <v>1789</v>
      </c>
      <c r="D155" s="185" t="s">
        <v>1670</v>
      </c>
      <c r="E155" s="185" t="s">
        <v>1662</v>
      </c>
      <c r="F155" s="185" t="s">
        <v>1662</v>
      </c>
      <c r="G155" s="231">
        <v>0</v>
      </c>
    </row>
  </sheetData>
  <sortState ref="B2:G105">
    <sortCondition ref="B3:B10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G107"/>
  <sheetViews>
    <sheetView topLeftCell="A94" workbookViewId="0">
      <selection activeCell="A39" sqref="A39:XFD39"/>
    </sheetView>
  </sheetViews>
  <sheetFormatPr defaultRowHeight="15"/>
  <cols>
    <col min="2" max="2" width="4" bestFit="1" customWidth="1"/>
    <col min="3" max="3" width="42.7109375" bestFit="1" customWidth="1"/>
    <col min="4" max="4" width="6.42578125" bestFit="1" customWidth="1"/>
    <col min="5" max="5" width="78" bestFit="1" customWidth="1"/>
    <col min="6" max="6" width="30.85546875" bestFit="1" customWidth="1"/>
    <col min="7" max="8" width="3" bestFit="1" customWidth="1"/>
    <col min="9" max="9" width="40.140625" customWidth="1"/>
    <col min="10" max="10" width="43" bestFit="1" customWidth="1"/>
  </cols>
  <sheetData>
    <row r="2" spans="2:7">
      <c r="B2" s="185">
        <v>1</v>
      </c>
      <c r="C2" s="231" t="s">
        <v>1647</v>
      </c>
      <c r="D2" s="185" t="s">
        <v>1646</v>
      </c>
      <c r="E2" s="185" t="s">
        <v>1656</v>
      </c>
      <c r="F2" s="185" t="s">
        <v>1661</v>
      </c>
      <c r="G2" s="185">
        <v>0</v>
      </c>
    </row>
    <row r="3" spans="2:7">
      <c r="B3" s="185">
        <v>2</v>
      </c>
      <c r="C3" s="231" t="s">
        <v>1019</v>
      </c>
      <c r="D3" s="185" t="s">
        <v>1646</v>
      </c>
      <c r="E3" s="185" t="s">
        <v>1657</v>
      </c>
      <c r="F3" s="185" t="s">
        <v>1660</v>
      </c>
      <c r="G3" s="185">
        <v>0</v>
      </c>
    </row>
    <row r="4" spans="2:7">
      <c r="B4" s="185">
        <v>3</v>
      </c>
      <c r="C4" s="231" t="s">
        <v>1648</v>
      </c>
      <c r="D4" s="185" t="s">
        <v>1646</v>
      </c>
      <c r="E4" s="185" t="s">
        <v>1658</v>
      </c>
      <c r="F4" s="185" t="s">
        <v>1659</v>
      </c>
      <c r="G4" s="185">
        <v>0</v>
      </c>
    </row>
    <row r="5" spans="2:7">
      <c r="B5" s="185">
        <v>4</v>
      </c>
      <c r="C5" s="231" t="s">
        <v>1649</v>
      </c>
      <c r="D5" s="185" t="s">
        <v>1646</v>
      </c>
      <c r="E5" s="185" t="s">
        <v>1662</v>
      </c>
      <c r="F5" s="185" t="s">
        <v>1662</v>
      </c>
      <c r="G5" s="185">
        <v>0</v>
      </c>
    </row>
    <row r="6" spans="2:7">
      <c r="B6" s="185">
        <v>5</v>
      </c>
      <c r="C6" s="231" t="s">
        <v>1650</v>
      </c>
      <c r="D6" s="185" t="s">
        <v>1646</v>
      </c>
      <c r="E6" s="185" t="s">
        <v>1662</v>
      </c>
      <c r="F6" s="185" t="s">
        <v>1662</v>
      </c>
      <c r="G6" s="185">
        <v>0</v>
      </c>
    </row>
    <row r="7" spans="2:7">
      <c r="B7" s="185">
        <v>6</v>
      </c>
      <c r="C7" s="231" t="s">
        <v>1651</v>
      </c>
      <c r="D7" s="185" t="s">
        <v>1646</v>
      </c>
      <c r="E7" s="185" t="s">
        <v>1662</v>
      </c>
      <c r="F7" s="185" t="s">
        <v>1662</v>
      </c>
      <c r="G7" s="185">
        <v>0</v>
      </c>
    </row>
    <row r="8" spans="2:7">
      <c r="B8" s="185">
        <v>7</v>
      </c>
      <c r="C8" s="231" t="s">
        <v>1652</v>
      </c>
      <c r="D8" s="185" t="s">
        <v>1646</v>
      </c>
      <c r="E8" s="185" t="s">
        <v>1662</v>
      </c>
      <c r="F8" s="185" t="s">
        <v>1662</v>
      </c>
      <c r="G8" s="185">
        <v>0</v>
      </c>
    </row>
    <row r="9" spans="2:7">
      <c r="B9" s="185">
        <v>8</v>
      </c>
      <c r="C9" s="231" t="s">
        <v>1653</v>
      </c>
      <c r="D9" s="185" t="s">
        <v>1646</v>
      </c>
      <c r="E9" s="185" t="s">
        <v>1662</v>
      </c>
      <c r="F9" s="185" t="s">
        <v>1662</v>
      </c>
      <c r="G9" s="185">
        <v>0</v>
      </c>
    </row>
    <row r="10" spans="2:7">
      <c r="B10" s="185">
        <v>9</v>
      </c>
      <c r="C10" s="231" t="s">
        <v>1654</v>
      </c>
      <c r="D10" s="185" t="s">
        <v>1646</v>
      </c>
      <c r="E10" s="185" t="s">
        <v>1662</v>
      </c>
      <c r="F10" s="185" t="s">
        <v>1662</v>
      </c>
      <c r="G10" s="185">
        <v>0</v>
      </c>
    </row>
    <row r="11" spans="2:7">
      <c r="B11" s="185">
        <v>10</v>
      </c>
      <c r="C11" s="231" t="s">
        <v>1655</v>
      </c>
      <c r="D11" s="185" t="s">
        <v>1646</v>
      </c>
      <c r="E11" s="185" t="s">
        <v>1662</v>
      </c>
      <c r="F11" s="185" t="s">
        <v>1662</v>
      </c>
      <c r="G11" s="185">
        <v>0</v>
      </c>
    </row>
    <row r="12" spans="2:7">
      <c r="B12" s="185">
        <v>11</v>
      </c>
      <c r="C12" s="230" t="s">
        <v>1667</v>
      </c>
      <c r="D12" s="185" t="s">
        <v>1670</v>
      </c>
      <c r="E12" s="185" t="s">
        <v>1662</v>
      </c>
      <c r="F12" s="185" t="s">
        <v>1662</v>
      </c>
      <c r="G12" s="185">
        <v>9</v>
      </c>
    </row>
    <row r="13" spans="2:7">
      <c r="B13" s="185">
        <v>12</v>
      </c>
      <c r="C13" s="230" t="s">
        <v>1668</v>
      </c>
      <c r="D13" s="185" t="s">
        <v>1670</v>
      </c>
      <c r="E13" s="185" t="s">
        <v>1662</v>
      </c>
      <c r="F13" s="185" t="s">
        <v>1662</v>
      </c>
      <c r="G13" s="185">
        <v>9</v>
      </c>
    </row>
    <row r="14" spans="2:7">
      <c r="B14" s="185">
        <v>13</v>
      </c>
      <c r="C14" s="230" t="s">
        <v>1400</v>
      </c>
      <c r="D14" s="185" t="s">
        <v>1670</v>
      </c>
      <c r="E14" s="185" t="s">
        <v>1662</v>
      </c>
      <c r="F14" s="185" t="s">
        <v>1662</v>
      </c>
      <c r="G14" s="185">
        <v>9</v>
      </c>
    </row>
    <row r="15" spans="2:7">
      <c r="B15" s="185">
        <v>14</v>
      </c>
      <c r="C15" s="230" t="s">
        <v>1669</v>
      </c>
      <c r="D15" s="185" t="s">
        <v>1670</v>
      </c>
      <c r="E15" s="185" t="s">
        <v>1662</v>
      </c>
      <c r="F15" s="185" t="s">
        <v>1662</v>
      </c>
      <c r="G15" s="185">
        <v>9</v>
      </c>
    </row>
    <row r="16" spans="2:7">
      <c r="B16" s="185">
        <v>15</v>
      </c>
      <c r="C16" s="230" t="s">
        <v>1389</v>
      </c>
      <c r="D16" s="185" t="s">
        <v>1670</v>
      </c>
      <c r="E16" s="185" t="s">
        <v>1662</v>
      </c>
      <c r="F16" s="185" t="s">
        <v>1662</v>
      </c>
      <c r="G16" s="185">
        <v>9</v>
      </c>
    </row>
    <row r="17" spans="2:7">
      <c r="B17" s="185">
        <v>16</v>
      </c>
      <c r="C17" s="230" t="s">
        <v>1401</v>
      </c>
      <c r="D17" s="185" t="s">
        <v>1670</v>
      </c>
      <c r="E17" s="185" t="s">
        <v>1662</v>
      </c>
      <c r="F17" s="185" t="s">
        <v>1662</v>
      </c>
      <c r="G17" s="185">
        <v>9</v>
      </c>
    </row>
    <row r="18" spans="2:7">
      <c r="B18" s="185">
        <v>17</v>
      </c>
      <c r="C18" s="230" t="s">
        <v>1395</v>
      </c>
      <c r="D18" s="185" t="s">
        <v>1670</v>
      </c>
      <c r="E18" s="185" t="s">
        <v>1662</v>
      </c>
      <c r="F18" s="185" t="s">
        <v>1662</v>
      </c>
      <c r="G18" s="185">
        <v>9</v>
      </c>
    </row>
    <row r="19" spans="2:7">
      <c r="B19" s="185">
        <v>18</v>
      </c>
      <c r="C19" s="230" t="s">
        <v>1399</v>
      </c>
      <c r="D19" s="185" t="s">
        <v>1670</v>
      </c>
      <c r="E19" s="185" t="s">
        <v>1662</v>
      </c>
      <c r="F19" s="185" t="s">
        <v>1662</v>
      </c>
      <c r="G19" s="185">
        <v>9</v>
      </c>
    </row>
    <row r="20" spans="2:7">
      <c r="B20" s="185">
        <v>19</v>
      </c>
      <c r="C20" s="230" t="s">
        <v>1394</v>
      </c>
      <c r="D20" s="185" t="s">
        <v>1670</v>
      </c>
      <c r="E20" s="185" t="s">
        <v>1662</v>
      </c>
      <c r="F20" s="185" t="s">
        <v>1662</v>
      </c>
      <c r="G20" s="185">
        <v>9</v>
      </c>
    </row>
    <row r="21" spans="2:7">
      <c r="B21" s="185">
        <v>20</v>
      </c>
      <c r="C21" s="231" t="s">
        <v>132</v>
      </c>
      <c r="D21" s="185" t="s">
        <v>1670</v>
      </c>
      <c r="E21" s="185" t="s">
        <v>1662</v>
      </c>
      <c r="F21" s="185" t="s">
        <v>1662</v>
      </c>
      <c r="G21" s="185">
        <v>10</v>
      </c>
    </row>
    <row r="22" spans="2:7">
      <c r="B22" s="185">
        <v>21</v>
      </c>
      <c r="C22" s="232" t="s">
        <v>700</v>
      </c>
      <c r="D22" s="185" t="s">
        <v>1670</v>
      </c>
      <c r="E22" s="185" t="s">
        <v>1662</v>
      </c>
      <c r="F22" s="185" t="s">
        <v>1662</v>
      </c>
      <c r="G22" s="185">
        <v>10</v>
      </c>
    </row>
    <row r="23" spans="2:7">
      <c r="B23" s="185">
        <v>22</v>
      </c>
      <c r="C23" s="231" t="s">
        <v>126</v>
      </c>
      <c r="D23" s="185" t="s">
        <v>1670</v>
      </c>
      <c r="E23" s="185" t="s">
        <v>1662</v>
      </c>
      <c r="F23" s="185" t="s">
        <v>1662</v>
      </c>
      <c r="G23" s="185">
        <v>10</v>
      </c>
    </row>
    <row r="24" spans="2:7">
      <c r="B24" s="185">
        <v>23</v>
      </c>
      <c r="C24" s="231" t="s">
        <v>1398</v>
      </c>
      <c r="D24" s="185" t="s">
        <v>1670</v>
      </c>
      <c r="E24" s="185" t="s">
        <v>1662</v>
      </c>
      <c r="F24" s="185" t="s">
        <v>1662</v>
      </c>
      <c r="G24" s="185">
        <v>3</v>
      </c>
    </row>
    <row r="25" spans="2:7">
      <c r="B25" s="185">
        <v>24</v>
      </c>
      <c r="C25" s="231" t="s">
        <v>1672</v>
      </c>
      <c r="D25" s="185" t="s">
        <v>1670</v>
      </c>
      <c r="E25" s="185" t="s">
        <v>1662</v>
      </c>
      <c r="F25" s="185" t="s">
        <v>1662</v>
      </c>
      <c r="G25" s="185">
        <v>3</v>
      </c>
    </row>
    <row r="26" spans="2:7">
      <c r="B26" s="185">
        <v>25</v>
      </c>
      <c r="C26" s="231" t="s">
        <v>1674</v>
      </c>
      <c r="D26" s="185" t="s">
        <v>1670</v>
      </c>
      <c r="E26" s="185" t="s">
        <v>1662</v>
      </c>
      <c r="F26" s="185" t="s">
        <v>1662</v>
      </c>
      <c r="G26" s="185">
        <v>3</v>
      </c>
    </row>
    <row r="27" spans="2:7">
      <c r="B27" s="185">
        <v>26</v>
      </c>
      <c r="C27" s="231" t="s">
        <v>1671</v>
      </c>
      <c r="D27" s="185" t="s">
        <v>1670</v>
      </c>
      <c r="E27" s="185" t="s">
        <v>1662</v>
      </c>
      <c r="F27" s="185" t="s">
        <v>1662</v>
      </c>
      <c r="G27" s="185">
        <v>3</v>
      </c>
    </row>
    <row r="28" spans="2:7">
      <c r="B28" s="185">
        <v>27</v>
      </c>
      <c r="C28" s="231" t="s">
        <v>1673</v>
      </c>
      <c r="D28" s="185" t="s">
        <v>1670</v>
      </c>
      <c r="E28" s="185" t="s">
        <v>1662</v>
      </c>
      <c r="F28" s="185" t="s">
        <v>1662</v>
      </c>
      <c r="G28" s="185">
        <v>3</v>
      </c>
    </row>
    <row r="29" spans="2:7">
      <c r="B29" s="185">
        <v>28</v>
      </c>
      <c r="C29" s="231" t="s">
        <v>1679</v>
      </c>
      <c r="D29" s="185" t="s">
        <v>1670</v>
      </c>
      <c r="E29" s="185" t="s">
        <v>1662</v>
      </c>
      <c r="F29" s="185" t="s">
        <v>1662</v>
      </c>
      <c r="G29" s="185">
        <v>3</v>
      </c>
    </row>
    <row r="30" spans="2:7">
      <c r="B30" s="185">
        <v>29</v>
      </c>
      <c r="C30" s="231" t="s">
        <v>1684</v>
      </c>
      <c r="D30" s="185" t="s">
        <v>1670</v>
      </c>
      <c r="E30" s="185" t="s">
        <v>1662</v>
      </c>
      <c r="F30" s="185" t="s">
        <v>1662</v>
      </c>
      <c r="G30" s="185">
        <v>8</v>
      </c>
    </row>
    <row r="31" spans="2:7">
      <c r="B31" s="185">
        <v>30</v>
      </c>
      <c r="C31" s="231" t="s">
        <v>1675</v>
      </c>
      <c r="D31" s="185" t="s">
        <v>1670</v>
      </c>
      <c r="E31" s="185" t="s">
        <v>1662</v>
      </c>
      <c r="F31" s="185" t="s">
        <v>1662</v>
      </c>
      <c r="G31" s="185">
        <v>8</v>
      </c>
    </row>
    <row r="32" spans="2:7">
      <c r="B32" s="185">
        <v>31</v>
      </c>
      <c r="C32" s="231" t="s">
        <v>1626</v>
      </c>
      <c r="D32" s="185" t="s">
        <v>1670</v>
      </c>
      <c r="E32" s="185" t="s">
        <v>1662</v>
      </c>
      <c r="F32" s="185" t="s">
        <v>1662</v>
      </c>
      <c r="G32" s="185">
        <v>8</v>
      </c>
    </row>
    <row r="33" spans="2:7">
      <c r="B33" s="185">
        <v>32</v>
      </c>
      <c r="C33" s="231" t="s">
        <v>1641</v>
      </c>
      <c r="D33" s="185" t="s">
        <v>1670</v>
      </c>
      <c r="E33" s="185" t="s">
        <v>1662</v>
      </c>
      <c r="F33" s="185" t="s">
        <v>1662</v>
      </c>
      <c r="G33" s="185">
        <v>8</v>
      </c>
    </row>
    <row r="34" spans="2:7">
      <c r="B34" s="185">
        <v>33</v>
      </c>
      <c r="C34" s="231" t="s">
        <v>1452</v>
      </c>
      <c r="D34" s="185" t="s">
        <v>1670</v>
      </c>
      <c r="E34" s="185" t="s">
        <v>1662</v>
      </c>
      <c r="F34" s="185" t="s">
        <v>1662</v>
      </c>
      <c r="G34" s="185">
        <v>7</v>
      </c>
    </row>
    <row r="35" spans="2:7">
      <c r="B35" s="185">
        <v>34</v>
      </c>
      <c r="C35" s="231" t="s">
        <v>1628</v>
      </c>
      <c r="D35" s="185" t="s">
        <v>1670</v>
      </c>
      <c r="E35" s="185" t="s">
        <v>1662</v>
      </c>
      <c r="F35" s="185" t="s">
        <v>1662</v>
      </c>
      <c r="G35" s="185">
        <v>7</v>
      </c>
    </row>
    <row r="36" spans="2:7">
      <c r="B36" s="185">
        <v>35</v>
      </c>
      <c r="C36" s="231" t="s">
        <v>1644</v>
      </c>
      <c r="D36" s="185" t="s">
        <v>1670</v>
      </c>
      <c r="E36" s="185" t="s">
        <v>1662</v>
      </c>
      <c r="F36" s="185" t="s">
        <v>1662</v>
      </c>
      <c r="G36" s="185">
        <v>2</v>
      </c>
    </row>
    <row r="37" spans="2:7">
      <c r="B37" s="185">
        <v>36</v>
      </c>
      <c r="C37" s="231" t="s">
        <v>1676</v>
      </c>
      <c r="D37" s="185" t="s">
        <v>1670</v>
      </c>
      <c r="E37" s="185" t="s">
        <v>1662</v>
      </c>
      <c r="F37" s="185" t="s">
        <v>1662</v>
      </c>
      <c r="G37" s="185">
        <v>2</v>
      </c>
    </row>
    <row r="38" spans="2:7">
      <c r="B38" s="185">
        <v>37</v>
      </c>
      <c r="C38" s="231" t="s">
        <v>1643</v>
      </c>
      <c r="D38" s="185" t="s">
        <v>1670</v>
      </c>
      <c r="E38" s="185" t="s">
        <v>1662</v>
      </c>
      <c r="F38" s="185" t="s">
        <v>1662</v>
      </c>
      <c r="G38" s="185">
        <v>2</v>
      </c>
    </row>
    <row r="39" spans="2:7">
      <c r="B39" s="185">
        <v>38</v>
      </c>
      <c r="C39" s="231" t="s">
        <v>1217</v>
      </c>
      <c r="D39" s="185" t="s">
        <v>1670</v>
      </c>
      <c r="E39" s="185" t="s">
        <v>1662</v>
      </c>
      <c r="F39" s="185" t="s">
        <v>1662</v>
      </c>
      <c r="G39" s="185">
        <v>6</v>
      </c>
    </row>
    <row r="40" spans="2:7">
      <c r="B40" s="185">
        <v>39</v>
      </c>
      <c r="C40" s="231" t="s">
        <v>1682</v>
      </c>
      <c r="D40" s="185" t="s">
        <v>1670</v>
      </c>
      <c r="E40" s="185" t="s">
        <v>1662</v>
      </c>
      <c r="F40" s="185" t="s">
        <v>1662</v>
      </c>
      <c r="G40" s="185">
        <v>4</v>
      </c>
    </row>
    <row r="41" spans="2:7">
      <c r="B41" s="185">
        <v>40</v>
      </c>
      <c r="C41" s="231" t="s">
        <v>970</v>
      </c>
      <c r="D41" s="185" t="s">
        <v>1670</v>
      </c>
      <c r="E41" s="185" t="s">
        <v>1662</v>
      </c>
      <c r="F41" s="185" t="s">
        <v>1662</v>
      </c>
      <c r="G41" s="185">
        <v>4</v>
      </c>
    </row>
    <row r="42" spans="2:7">
      <c r="B42" s="185">
        <v>41</v>
      </c>
      <c r="C42" s="231" t="s">
        <v>1590</v>
      </c>
      <c r="D42" s="185" t="s">
        <v>1670</v>
      </c>
      <c r="E42" s="185" t="s">
        <v>1662</v>
      </c>
      <c r="F42" s="185" t="s">
        <v>1662</v>
      </c>
      <c r="G42" s="185">
        <v>4</v>
      </c>
    </row>
    <row r="43" spans="2:7">
      <c r="B43" s="185">
        <v>42</v>
      </c>
      <c r="C43" s="231" t="s">
        <v>1677</v>
      </c>
      <c r="D43" s="185" t="s">
        <v>1670</v>
      </c>
      <c r="E43" s="185" t="s">
        <v>1662</v>
      </c>
      <c r="F43" s="185" t="s">
        <v>1662</v>
      </c>
      <c r="G43" s="185">
        <v>4</v>
      </c>
    </row>
    <row r="44" spans="2:7">
      <c r="B44" s="185">
        <v>43</v>
      </c>
      <c r="C44" s="185" t="s">
        <v>1583</v>
      </c>
      <c r="D44" s="185" t="s">
        <v>1670</v>
      </c>
      <c r="E44" s="185" t="s">
        <v>1662</v>
      </c>
      <c r="F44" s="185" t="s">
        <v>1662</v>
      </c>
      <c r="G44" s="231">
        <v>0</v>
      </c>
    </row>
    <row r="45" spans="2:7">
      <c r="B45" s="185">
        <v>44</v>
      </c>
      <c r="C45" s="185" t="s">
        <v>1664</v>
      </c>
      <c r="D45" s="185" t="s">
        <v>1670</v>
      </c>
      <c r="E45" s="185" t="s">
        <v>1662</v>
      </c>
      <c r="F45" s="185" t="s">
        <v>1662</v>
      </c>
      <c r="G45" s="231">
        <v>0</v>
      </c>
    </row>
    <row r="46" spans="2:7">
      <c r="B46" s="185">
        <v>45</v>
      </c>
      <c r="C46" s="185" t="s">
        <v>1663</v>
      </c>
      <c r="D46" s="185" t="s">
        <v>1670</v>
      </c>
      <c r="E46" s="185" t="s">
        <v>1662</v>
      </c>
      <c r="F46" s="185" t="s">
        <v>1662</v>
      </c>
      <c r="G46" s="231">
        <v>0</v>
      </c>
    </row>
    <row r="47" spans="2:7">
      <c r="B47" s="185">
        <v>46</v>
      </c>
      <c r="C47" s="185" t="s">
        <v>1678</v>
      </c>
      <c r="D47" s="185" t="s">
        <v>1670</v>
      </c>
      <c r="E47" s="185" t="s">
        <v>1662</v>
      </c>
      <c r="F47" s="185" t="s">
        <v>1662</v>
      </c>
      <c r="G47" s="231">
        <v>0</v>
      </c>
    </row>
    <row r="48" spans="2:7">
      <c r="B48" s="185">
        <v>47</v>
      </c>
      <c r="C48" s="185" t="s">
        <v>973</v>
      </c>
      <c r="D48" s="185" t="s">
        <v>1670</v>
      </c>
      <c r="E48" s="185" t="s">
        <v>1662</v>
      </c>
      <c r="F48" s="185" t="s">
        <v>1662</v>
      </c>
      <c r="G48" s="231">
        <v>0</v>
      </c>
    </row>
    <row r="49" spans="2:7">
      <c r="B49" s="185">
        <v>48</v>
      </c>
      <c r="C49" s="185" t="s">
        <v>1417</v>
      </c>
      <c r="D49" s="185" t="s">
        <v>1670</v>
      </c>
      <c r="E49" s="185" t="s">
        <v>1662</v>
      </c>
      <c r="F49" s="185" t="s">
        <v>1662</v>
      </c>
      <c r="G49" s="231">
        <v>0</v>
      </c>
    </row>
    <row r="50" spans="2:7">
      <c r="B50" s="185">
        <v>49</v>
      </c>
      <c r="C50" s="185" t="s">
        <v>1153</v>
      </c>
      <c r="D50" s="185" t="s">
        <v>1670</v>
      </c>
      <c r="E50" s="185" t="s">
        <v>1662</v>
      </c>
      <c r="F50" s="185" t="s">
        <v>1662</v>
      </c>
      <c r="G50" s="231">
        <v>0</v>
      </c>
    </row>
    <row r="51" spans="2:7">
      <c r="B51" s="185">
        <v>50</v>
      </c>
      <c r="C51" s="185" t="s">
        <v>1585</v>
      </c>
      <c r="D51" s="185" t="s">
        <v>1670</v>
      </c>
      <c r="E51" s="185" t="s">
        <v>1662</v>
      </c>
      <c r="F51" s="185" t="s">
        <v>1662</v>
      </c>
      <c r="G51" s="231">
        <v>0</v>
      </c>
    </row>
    <row r="52" spans="2:7">
      <c r="B52" s="185">
        <v>51</v>
      </c>
      <c r="C52" s="185" t="s">
        <v>1584</v>
      </c>
      <c r="D52" s="185" t="s">
        <v>1670</v>
      </c>
      <c r="E52" s="185" t="s">
        <v>1662</v>
      </c>
      <c r="F52" s="185" t="s">
        <v>1662</v>
      </c>
      <c r="G52" s="231">
        <v>0</v>
      </c>
    </row>
    <row r="53" spans="2:7">
      <c r="B53" s="185">
        <v>52</v>
      </c>
      <c r="C53" s="185" t="s">
        <v>1586</v>
      </c>
      <c r="D53" s="185" t="s">
        <v>1670</v>
      </c>
      <c r="E53" s="185" t="s">
        <v>1662</v>
      </c>
      <c r="F53" s="185" t="s">
        <v>1662</v>
      </c>
      <c r="G53" s="231">
        <v>0</v>
      </c>
    </row>
    <row r="54" spans="2:7">
      <c r="B54" s="185">
        <v>53</v>
      </c>
      <c r="C54" s="185" t="s">
        <v>623</v>
      </c>
      <c r="D54" s="185" t="s">
        <v>1670</v>
      </c>
      <c r="E54" s="185" t="s">
        <v>1662</v>
      </c>
      <c r="F54" s="185" t="s">
        <v>1662</v>
      </c>
      <c r="G54" s="231">
        <v>0</v>
      </c>
    </row>
    <row r="55" spans="2:7">
      <c r="B55" s="185">
        <v>54</v>
      </c>
      <c r="C55" s="185" t="s">
        <v>1582</v>
      </c>
      <c r="D55" s="185" t="s">
        <v>1670</v>
      </c>
      <c r="E55" s="185" t="s">
        <v>1662</v>
      </c>
      <c r="F55" s="185" t="s">
        <v>1662</v>
      </c>
      <c r="G55" s="231">
        <v>0</v>
      </c>
    </row>
    <row r="56" spans="2:7">
      <c r="B56" s="185">
        <v>55</v>
      </c>
      <c r="C56" s="185" t="s">
        <v>1602</v>
      </c>
      <c r="D56" s="185" t="s">
        <v>1670</v>
      </c>
      <c r="E56" s="185" t="s">
        <v>1662</v>
      </c>
      <c r="F56" s="185" t="s">
        <v>1662</v>
      </c>
      <c r="G56" s="231">
        <v>0</v>
      </c>
    </row>
    <row r="57" spans="2:7">
      <c r="B57" s="185">
        <v>56</v>
      </c>
      <c r="C57" s="185" t="s">
        <v>977</v>
      </c>
      <c r="D57" s="185" t="s">
        <v>1670</v>
      </c>
      <c r="E57" s="185" t="s">
        <v>1662</v>
      </c>
      <c r="F57" s="185" t="s">
        <v>1662</v>
      </c>
      <c r="G57" s="231">
        <v>0</v>
      </c>
    </row>
    <row r="58" spans="2:7">
      <c r="B58" s="185">
        <v>57</v>
      </c>
      <c r="C58" s="185" t="s">
        <v>23</v>
      </c>
      <c r="D58" s="185" t="s">
        <v>1670</v>
      </c>
      <c r="E58" s="185" t="s">
        <v>1662</v>
      </c>
      <c r="F58" s="185" t="s">
        <v>1662</v>
      </c>
      <c r="G58" s="231">
        <v>0</v>
      </c>
    </row>
    <row r="59" spans="2:7">
      <c r="B59" s="185">
        <v>58</v>
      </c>
      <c r="C59" s="185" t="s">
        <v>1605</v>
      </c>
      <c r="D59" s="185" t="s">
        <v>1670</v>
      </c>
      <c r="E59" s="185" t="s">
        <v>1662</v>
      </c>
      <c r="F59" s="185" t="s">
        <v>1662</v>
      </c>
      <c r="G59" s="231">
        <v>0</v>
      </c>
    </row>
    <row r="60" spans="2:7">
      <c r="B60" s="185">
        <v>59</v>
      </c>
      <c r="C60" s="185" t="s">
        <v>1443</v>
      </c>
      <c r="D60" s="185" t="s">
        <v>1670</v>
      </c>
      <c r="E60" s="185" t="s">
        <v>1662</v>
      </c>
      <c r="F60" s="185" t="s">
        <v>1662</v>
      </c>
      <c r="G60" s="231">
        <v>0</v>
      </c>
    </row>
    <row r="61" spans="2:7">
      <c r="B61" s="185">
        <v>60</v>
      </c>
      <c r="C61" s="185" t="s">
        <v>75</v>
      </c>
      <c r="D61" s="185" t="s">
        <v>1670</v>
      </c>
      <c r="E61" s="185" t="s">
        <v>1662</v>
      </c>
      <c r="F61" s="185" t="s">
        <v>1662</v>
      </c>
      <c r="G61" s="231">
        <v>0</v>
      </c>
    </row>
    <row r="62" spans="2:7">
      <c r="B62" s="185">
        <v>61</v>
      </c>
      <c r="C62" s="185" t="s">
        <v>1680</v>
      </c>
      <c r="D62" s="185" t="s">
        <v>1670</v>
      </c>
      <c r="E62" s="185" t="s">
        <v>1662</v>
      </c>
      <c r="F62" s="185" t="s">
        <v>1662</v>
      </c>
      <c r="G62" s="231">
        <v>0</v>
      </c>
    </row>
    <row r="63" spans="2:7">
      <c r="B63" s="185">
        <v>62</v>
      </c>
      <c r="C63" s="185" t="s">
        <v>1597</v>
      </c>
      <c r="D63" s="185" t="s">
        <v>1670</v>
      </c>
      <c r="E63" s="185" t="s">
        <v>1662</v>
      </c>
      <c r="F63" s="185" t="s">
        <v>1662</v>
      </c>
      <c r="G63" s="231">
        <v>0</v>
      </c>
    </row>
    <row r="64" spans="2:7">
      <c r="B64" s="185">
        <v>63</v>
      </c>
      <c r="C64" s="185" t="s">
        <v>1425</v>
      </c>
      <c r="D64" s="185" t="s">
        <v>1670</v>
      </c>
      <c r="E64" s="185" t="s">
        <v>1662</v>
      </c>
      <c r="F64" s="185" t="s">
        <v>1662</v>
      </c>
      <c r="G64" s="231">
        <v>0</v>
      </c>
    </row>
    <row r="65" spans="2:7">
      <c r="B65" s="185">
        <v>64</v>
      </c>
      <c r="C65" s="185" t="s">
        <v>1588</v>
      </c>
      <c r="D65" s="185" t="s">
        <v>1670</v>
      </c>
      <c r="E65" s="185" t="s">
        <v>1662</v>
      </c>
      <c r="F65" s="185" t="s">
        <v>1662</v>
      </c>
      <c r="G65" s="231">
        <v>0</v>
      </c>
    </row>
    <row r="66" spans="2:7">
      <c r="B66" s="185">
        <v>65</v>
      </c>
      <c r="C66" s="185" t="s">
        <v>1381</v>
      </c>
      <c r="D66" s="185" t="s">
        <v>1670</v>
      </c>
      <c r="E66" s="185" t="s">
        <v>1662</v>
      </c>
      <c r="F66" s="185" t="s">
        <v>1662</v>
      </c>
      <c r="G66" s="231">
        <v>0</v>
      </c>
    </row>
    <row r="67" spans="2:7">
      <c r="B67" s="185">
        <v>66</v>
      </c>
      <c r="C67" s="185" t="s">
        <v>1589</v>
      </c>
      <c r="D67" s="185" t="s">
        <v>1670</v>
      </c>
      <c r="E67" s="185" t="s">
        <v>1662</v>
      </c>
      <c r="F67" s="185" t="s">
        <v>1662</v>
      </c>
      <c r="G67" s="231">
        <v>0</v>
      </c>
    </row>
    <row r="68" spans="2:7">
      <c r="B68" s="185">
        <v>67</v>
      </c>
      <c r="C68" s="185" t="s">
        <v>1638</v>
      </c>
      <c r="D68" s="185" t="s">
        <v>1670</v>
      </c>
      <c r="E68" s="185" t="s">
        <v>1662</v>
      </c>
      <c r="F68" s="185" t="s">
        <v>1662</v>
      </c>
      <c r="G68" s="231">
        <v>0</v>
      </c>
    </row>
    <row r="69" spans="2:7">
      <c r="B69" s="185">
        <v>68</v>
      </c>
      <c r="C69" s="185" t="s">
        <v>1681</v>
      </c>
      <c r="D69" s="185" t="s">
        <v>1670</v>
      </c>
      <c r="E69" s="185" t="s">
        <v>1662</v>
      </c>
      <c r="F69" s="185" t="s">
        <v>1662</v>
      </c>
      <c r="G69" s="231">
        <v>0</v>
      </c>
    </row>
    <row r="70" spans="2:7">
      <c r="B70" s="185">
        <v>69</v>
      </c>
      <c r="C70" s="185" t="s">
        <v>1085</v>
      </c>
      <c r="D70" s="185" t="s">
        <v>1670</v>
      </c>
      <c r="E70" s="185" t="s">
        <v>1662</v>
      </c>
      <c r="F70" s="185" t="s">
        <v>1662</v>
      </c>
      <c r="G70" s="231">
        <v>0</v>
      </c>
    </row>
    <row r="71" spans="2:7">
      <c r="B71" s="185">
        <v>70</v>
      </c>
      <c r="C71" s="185" t="s">
        <v>1</v>
      </c>
      <c r="D71" s="185" t="s">
        <v>1670</v>
      </c>
      <c r="E71" s="185" t="s">
        <v>1662</v>
      </c>
      <c r="F71" s="185" t="s">
        <v>1662</v>
      </c>
      <c r="G71" s="231">
        <v>0</v>
      </c>
    </row>
    <row r="72" spans="2:7">
      <c r="B72" s="185">
        <v>71</v>
      </c>
      <c r="C72" s="185" t="s">
        <v>15</v>
      </c>
      <c r="D72" s="185" t="s">
        <v>1670</v>
      </c>
      <c r="E72" s="185" t="s">
        <v>1662</v>
      </c>
      <c r="F72" s="185" t="s">
        <v>1662</v>
      </c>
      <c r="G72" s="231">
        <v>0</v>
      </c>
    </row>
    <row r="73" spans="2:7">
      <c r="B73" s="185">
        <v>72</v>
      </c>
      <c r="C73" s="185" t="s">
        <v>11</v>
      </c>
      <c r="D73" s="185" t="s">
        <v>1670</v>
      </c>
      <c r="E73" s="185" t="s">
        <v>1662</v>
      </c>
      <c r="F73" s="185" t="s">
        <v>1662</v>
      </c>
      <c r="G73" s="231">
        <v>0</v>
      </c>
    </row>
    <row r="74" spans="2:7">
      <c r="B74" s="185">
        <v>73</v>
      </c>
      <c r="C74" s="185" t="s">
        <v>1427</v>
      </c>
      <c r="D74" s="185" t="s">
        <v>1670</v>
      </c>
      <c r="E74" s="185" t="s">
        <v>1662</v>
      </c>
      <c r="F74" s="185" t="s">
        <v>1662</v>
      </c>
      <c r="G74" s="231">
        <v>0</v>
      </c>
    </row>
    <row r="75" spans="2:7">
      <c r="B75" s="185">
        <v>74</v>
      </c>
      <c r="C75" s="185" t="s">
        <v>980</v>
      </c>
      <c r="D75" s="185" t="s">
        <v>1670</v>
      </c>
      <c r="E75" s="185" t="s">
        <v>1662</v>
      </c>
      <c r="F75" s="185" t="s">
        <v>1662</v>
      </c>
      <c r="G75" s="231">
        <v>0</v>
      </c>
    </row>
    <row r="76" spans="2:7">
      <c r="B76" s="185">
        <v>75</v>
      </c>
      <c r="C76" s="185" t="s">
        <v>1429</v>
      </c>
      <c r="D76" s="185" t="s">
        <v>1670</v>
      </c>
      <c r="E76" s="185" t="s">
        <v>1662</v>
      </c>
      <c r="F76" s="185" t="s">
        <v>1662</v>
      </c>
      <c r="G76" s="231">
        <v>0</v>
      </c>
    </row>
    <row r="77" spans="2:7">
      <c r="B77" s="185">
        <v>76</v>
      </c>
      <c r="C77" s="185" t="s">
        <v>1428</v>
      </c>
      <c r="D77" s="185" t="s">
        <v>1670</v>
      </c>
      <c r="E77" s="185" t="s">
        <v>1662</v>
      </c>
      <c r="F77" s="185" t="s">
        <v>1662</v>
      </c>
      <c r="G77" s="231">
        <v>0</v>
      </c>
    </row>
    <row r="78" spans="2:7">
      <c r="B78" s="185">
        <v>77</v>
      </c>
      <c r="C78" s="185" t="s">
        <v>1683</v>
      </c>
      <c r="D78" s="185" t="s">
        <v>1670</v>
      </c>
      <c r="E78" s="185" t="s">
        <v>1662</v>
      </c>
      <c r="F78" s="185" t="s">
        <v>1662</v>
      </c>
      <c r="G78" s="231">
        <v>0</v>
      </c>
    </row>
    <row r="79" spans="2:7">
      <c r="B79" s="185">
        <v>78</v>
      </c>
      <c r="C79" s="185" t="s">
        <v>527</v>
      </c>
      <c r="D79" s="185" t="s">
        <v>1670</v>
      </c>
      <c r="E79" s="185" t="s">
        <v>1662</v>
      </c>
      <c r="F79" s="185" t="s">
        <v>1662</v>
      </c>
      <c r="G79" s="231">
        <v>0</v>
      </c>
    </row>
    <row r="80" spans="2:7">
      <c r="B80" s="185">
        <v>79</v>
      </c>
      <c r="C80" s="185" t="s">
        <v>1592</v>
      </c>
      <c r="D80" s="185" t="s">
        <v>1670</v>
      </c>
      <c r="E80" s="185" t="s">
        <v>1662</v>
      </c>
      <c r="F80" s="185" t="s">
        <v>1662</v>
      </c>
      <c r="G80" s="231">
        <v>0</v>
      </c>
    </row>
    <row r="81" spans="2:7">
      <c r="B81" s="185">
        <v>80</v>
      </c>
      <c r="C81" s="185" t="s">
        <v>1434</v>
      </c>
      <c r="D81" s="185" t="s">
        <v>1670</v>
      </c>
      <c r="E81" s="185" t="s">
        <v>1662</v>
      </c>
      <c r="F81" s="185" t="s">
        <v>1662</v>
      </c>
      <c r="G81" s="231">
        <v>0</v>
      </c>
    </row>
    <row r="82" spans="2:7">
      <c r="B82" s="185">
        <v>81</v>
      </c>
      <c r="C82" s="185" t="s">
        <v>34</v>
      </c>
      <c r="D82" s="185" t="s">
        <v>1670</v>
      </c>
      <c r="E82" s="185" t="s">
        <v>1662</v>
      </c>
      <c r="F82" s="185" t="s">
        <v>1662</v>
      </c>
      <c r="G82" s="231">
        <v>0</v>
      </c>
    </row>
    <row r="83" spans="2:7">
      <c r="B83" s="185">
        <v>82</v>
      </c>
      <c r="C83" s="185" t="s">
        <v>18</v>
      </c>
      <c r="D83" s="185" t="s">
        <v>1670</v>
      </c>
      <c r="E83" s="185" t="s">
        <v>1662</v>
      </c>
      <c r="F83" s="185" t="s">
        <v>1662</v>
      </c>
      <c r="G83" s="231">
        <v>0</v>
      </c>
    </row>
    <row r="84" spans="2:7">
      <c r="B84" s="185">
        <v>83</v>
      </c>
      <c r="C84" s="185" t="s">
        <v>1593</v>
      </c>
      <c r="D84" s="185" t="s">
        <v>1670</v>
      </c>
      <c r="E84" s="185" t="s">
        <v>1662</v>
      </c>
      <c r="F84" s="185" t="s">
        <v>1662</v>
      </c>
      <c r="G84" s="231">
        <v>0</v>
      </c>
    </row>
    <row r="85" spans="2:7">
      <c r="B85" s="185">
        <v>84</v>
      </c>
      <c r="C85" s="185" t="s">
        <v>1594</v>
      </c>
      <c r="D85" s="185" t="s">
        <v>1670</v>
      </c>
      <c r="E85" s="185" t="s">
        <v>1662</v>
      </c>
      <c r="F85" s="185" t="s">
        <v>1662</v>
      </c>
      <c r="G85" s="231">
        <v>0</v>
      </c>
    </row>
    <row r="86" spans="2:7">
      <c r="B86" s="185">
        <v>85</v>
      </c>
      <c r="C86" s="185" t="s">
        <v>2239</v>
      </c>
      <c r="D86" s="185" t="s">
        <v>1670</v>
      </c>
      <c r="E86" s="185" t="s">
        <v>1662</v>
      </c>
      <c r="F86" s="185" t="s">
        <v>1662</v>
      </c>
      <c r="G86" s="231">
        <v>0</v>
      </c>
    </row>
    <row r="87" spans="2:7">
      <c r="B87" s="185">
        <v>86</v>
      </c>
      <c r="C87" s="185" t="s">
        <v>1436</v>
      </c>
      <c r="D87" s="185" t="s">
        <v>1670</v>
      </c>
      <c r="E87" s="185" t="s">
        <v>1662</v>
      </c>
      <c r="F87" s="185" t="s">
        <v>1662</v>
      </c>
      <c r="G87" s="231">
        <v>0</v>
      </c>
    </row>
    <row r="88" spans="2:7">
      <c r="B88" s="185">
        <v>87</v>
      </c>
      <c r="C88" s="185" t="s">
        <v>1687</v>
      </c>
      <c r="D88" s="185" t="s">
        <v>1670</v>
      </c>
      <c r="E88" s="185" t="s">
        <v>1662</v>
      </c>
      <c r="F88" s="185" t="s">
        <v>1662</v>
      </c>
      <c r="G88" s="231">
        <v>0</v>
      </c>
    </row>
    <row r="89" spans="2:7">
      <c r="B89" s="185">
        <v>88</v>
      </c>
      <c r="C89" s="185" t="s">
        <v>1688</v>
      </c>
      <c r="D89" s="185" t="s">
        <v>1670</v>
      </c>
      <c r="E89" s="185" t="s">
        <v>1662</v>
      </c>
      <c r="F89" s="185" t="s">
        <v>1662</v>
      </c>
      <c r="G89" s="231">
        <v>0</v>
      </c>
    </row>
    <row r="90" spans="2:7">
      <c r="B90" s="185">
        <v>89</v>
      </c>
      <c r="C90" s="185" t="s">
        <v>1066</v>
      </c>
      <c r="D90" s="185" t="s">
        <v>1670</v>
      </c>
      <c r="E90" s="185" t="s">
        <v>1662</v>
      </c>
      <c r="F90" s="185" t="s">
        <v>1662</v>
      </c>
      <c r="G90" s="231">
        <v>0</v>
      </c>
    </row>
    <row r="91" spans="2:7">
      <c r="B91" s="185">
        <v>90</v>
      </c>
      <c r="C91" s="185" t="s">
        <v>26</v>
      </c>
      <c r="D91" s="185" t="s">
        <v>1670</v>
      </c>
      <c r="E91" s="185" t="s">
        <v>1662</v>
      </c>
      <c r="F91" s="185" t="s">
        <v>1662</v>
      </c>
      <c r="G91" s="231">
        <v>0</v>
      </c>
    </row>
    <row r="92" spans="2:7">
      <c r="B92" s="185">
        <v>91</v>
      </c>
      <c r="C92" s="231" t="s">
        <v>144</v>
      </c>
      <c r="D92" s="185" t="s">
        <v>1670</v>
      </c>
      <c r="E92" s="185" t="s">
        <v>1662</v>
      </c>
      <c r="F92" s="185" t="s">
        <v>1662</v>
      </c>
      <c r="G92" s="231">
        <v>0</v>
      </c>
    </row>
    <row r="93" spans="2:7">
      <c r="B93" s="185">
        <v>92</v>
      </c>
      <c r="C93" s="185" t="s">
        <v>1598</v>
      </c>
      <c r="D93" s="185" t="s">
        <v>1670</v>
      </c>
      <c r="E93" s="185" t="s">
        <v>1662</v>
      </c>
      <c r="F93" s="185" t="s">
        <v>1662</v>
      </c>
      <c r="G93" s="231">
        <v>0</v>
      </c>
    </row>
    <row r="94" spans="2:7">
      <c r="B94" s="185">
        <v>93</v>
      </c>
      <c r="C94" s="185" t="s">
        <v>143</v>
      </c>
      <c r="D94" s="185" t="s">
        <v>1670</v>
      </c>
      <c r="E94" s="185" t="s">
        <v>1662</v>
      </c>
      <c r="F94" s="185" t="s">
        <v>1662</v>
      </c>
      <c r="G94" s="231">
        <v>0</v>
      </c>
    </row>
    <row r="95" spans="2:7">
      <c r="B95" s="185">
        <v>94</v>
      </c>
      <c r="C95" s="185" t="s">
        <v>1690</v>
      </c>
      <c r="D95" s="185" t="s">
        <v>1670</v>
      </c>
      <c r="E95" s="185" t="s">
        <v>1662</v>
      </c>
      <c r="F95" s="185" t="s">
        <v>1662</v>
      </c>
      <c r="G95" s="231">
        <v>0</v>
      </c>
    </row>
    <row r="96" spans="2:7">
      <c r="B96" s="185">
        <v>95</v>
      </c>
      <c r="C96" s="185" t="s">
        <v>1601</v>
      </c>
      <c r="D96" s="185" t="s">
        <v>1670</v>
      </c>
      <c r="E96" s="185" t="s">
        <v>1662</v>
      </c>
      <c r="F96" s="185" t="s">
        <v>1662</v>
      </c>
      <c r="G96" s="231">
        <v>0</v>
      </c>
    </row>
    <row r="97" spans="2:7">
      <c r="B97" s="185">
        <v>96</v>
      </c>
      <c r="C97" s="185" t="s">
        <v>29</v>
      </c>
      <c r="D97" s="185" t="s">
        <v>1670</v>
      </c>
      <c r="E97" s="185" t="s">
        <v>1662</v>
      </c>
      <c r="F97" s="185" t="s">
        <v>1662</v>
      </c>
      <c r="G97" s="231">
        <v>0</v>
      </c>
    </row>
    <row r="98" spans="2:7">
      <c r="B98" s="185">
        <v>97</v>
      </c>
      <c r="C98" s="185" t="s">
        <v>987</v>
      </c>
      <c r="D98" s="185" t="s">
        <v>1670</v>
      </c>
      <c r="E98" s="185" t="s">
        <v>1662</v>
      </c>
      <c r="F98" s="185" t="s">
        <v>1662</v>
      </c>
      <c r="G98" s="231">
        <v>0</v>
      </c>
    </row>
    <row r="99" spans="2:7">
      <c r="B99" s="185">
        <v>98</v>
      </c>
      <c r="C99" s="185" t="s">
        <v>1691</v>
      </c>
      <c r="D99" s="185" t="s">
        <v>1670</v>
      </c>
      <c r="E99" s="185" t="s">
        <v>1662</v>
      </c>
      <c r="F99" s="185" t="s">
        <v>1662</v>
      </c>
      <c r="G99" s="231">
        <v>0</v>
      </c>
    </row>
    <row r="100" spans="2:7">
      <c r="B100" s="185">
        <v>99</v>
      </c>
      <c r="C100" s="233" t="s">
        <v>1406</v>
      </c>
      <c r="D100" s="185" t="s">
        <v>1670</v>
      </c>
      <c r="E100" s="185" t="s">
        <v>1662</v>
      </c>
      <c r="F100" s="185" t="s">
        <v>1662</v>
      </c>
      <c r="G100" s="231">
        <v>0</v>
      </c>
    </row>
    <row r="101" spans="2:7">
      <c r="B101" s="185">
        <v>100</v>
      </c>
      <c r="C101" s="233" t="s">
        <v>1685</v>
      </c>
      <c r="D101" s="185" t="s">
        <v>1670</v>
      </c>
      <c r="E101" s="185" t="s">
        <v>1662</v>
      </c>
      <c r="F101" s="185" t="s">
        <v>1662</v>
      </c>
      <c r="G101" s="231">
        <v>0</v>
      </c>
    </row>
    <row r="102" spans="2:7">
      <c r="B102" s="185">
        <v>101</v>
      </c>
      <c r="C102" s="233" t="s">
        <v>1403</v>
      </c>
      <c r="D102" s="185" t="s">
        <v>1670</v>
      </c>
      <c r="E102" s="185" t="s">
        <v>1662</v>
      </c>
      <c r="F102" s="185" t="s">
        <v>1662</v>
      </c>
      <c r="G102" s="231">
        <v>0</v>
      </c>
    </row>
    <row r="103" spans="2:7">
      <c r="B103" s="185">
        <v>102</v>
      </c>
      <c r="C103" s="233" t="s">
        <v>1686</v>
      </c>
      <c r="D103" s="185" t="s">
        <v>1670</v>
      </c>
      <c r="E103" s="185" t="s">
        <v>1662</v>
      </c>
      <c r="F103" s="185" t="s">
        <v>1662</v>
      </c>
      <c r="G103" s="231">
        <v>0</v>
      </c>
    </row>
    <row r="104" spans="2:7">
      <c r="B104" s="185">
        <v>103</v>
      </c>
      <c r="C104" s="231" t="s">
        <v>1689</v>
      </c>
      <c r="D104" s="185" t="s">
        <v>1670</v>
      </c>
      <c r="E104" s="185" t="s">
        <v>1662</v>
      </c>
      <c r="F104" s="185" t="s">
        <v>1662</v>
      </c>
      <c r="G104" s="231">
        <v>0</v>
      </c>
    </row>
    <row r="105" spans="2:7">
      <c r="B105" s="185">
        <v>104</v>
      </c>
      <c r="C105" s="231" t="s">
        <v>1692</v>
      </c>
      <c r="D105" s="185" t="s">
        <v>1670</v>
      </c>
      <c r="E105" s="185" t="s">
        <v>1662</v>
      </c>
      <c r="F105" s="185" t="s">
        <v>1662</v>
      </c>
      <c r="G105" s="231">
        <v>0</v>
      </c>
    </row>
    <row r="106" spans="2:7">
      <c r="B106" s="231">
        <v>105</v>
      </c>
      <c r="C106" s="231" t="s">
        <v>1699</v>
      </c>
      <c r="D106" s="185" t="s">
        <v>1670</v>
      </c>
      <c r="E106" s="185" t="s">
        <v>1662</v>
      </c>
      <c r="F106" s="185" t="s">
        <v>1662</v>
      </c>
      <c r="G106" s="231">
        <v>0</v>
      </c>
    </row>
    <row r="107" spans="2:7">
      <c r="B107" s="185">
        <v>106</v>
      </c>
      <c r="C107" s="229" t="s">
        <v>973</v>
      </c>
      <c r="D107" s="185" t="s">
        <v>1670</v>
      </c>
      <c r="E107" s="185" t="s">
        <v>1662</v>
      </c>
      <c r="F107" s="185" t="s">
        <v>1662</v>
      </c>
      <c r="G107" s="231">
        <v>0</v>
      </c>
    </row>
  </sheetData>
  <sortState ref="B2:I107">
    <sortCondition ref="B2:B10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79"/>
  <sheetViews>
    <sheetView topLeftCell="A38" workbookViewId="0">
      <selection activeCell="A59" sqref="A59:P59"/>
    </sheetView>
  </sheetViews>
  <sheetFormatPr defaultRowHeight="15"/>
  <cols>
    <col min="2" max="2" width="15.42578125" bestFit="1" customWidth="1"/>
    <col min="3" max="3" width="36" bestFit="1" customWidth="1"/>
    <col min="4" max="4" width="42.85546875" bestFit="1" customWidth="1"/>
    <col min="5" max="5" width="6.85546875" bestFit="1" customWidth="1"/>
    <col min="6" max="6" width="43" bestFit="1" customWidth="1"/>
    <col min="7" max="7" width="32.42578125" bestFit="1" customWidth="1"/>
    <col min="8" max="8" width="10.140625" bestFit="1" customWidth="1"/>
    <col min="9" max="9" width="20.42578125" bestFit="1" customWidth="1"/>
    <col min="10" max="10" width="8.28515625" bestFit="1" customWidth="1"/>
    <col min="11" max="13" width="11" bestFit="1" customWidth="1"/>
    <col min="14" max="14" width="12" bestFit="1" customWidth="1"/>
    <col min="15" max="15" width="8.85546875" bestFit="1" customWidth="1"/>
  </cols>
  <sheetData>
    <row r="1" spans="1:23">
      <c r="A1" t="s">
        <v>175</v>
      </c>
      <c r="B1" t="s">
        <v>2656</v>
      </c>
      <c r="C1" t="s">
        <v>2680</v>
      </c>
      <c r="E1" t="s">
        <v>3223</v>
      </c>
      <c r="F1" t="s">
        <v>3224</v>
      </c>
      <c r="G1" t="s">
        <v>3225</v>
      </c>
      <c r="H1" t="s">
        <v>3226</v>
      </c>
      <c r="I1" t="s">
        <v>3227</v>
      </c>
      <c r="J1" t="s">
        <v>3228</v>
      </c>
      <c r="K1" t="s">
        <v>3229</v>
      </c>
      <c r="L1" t="s">
        <v>3230</v>
      </c>
      <c r="M1" t="s">
        <v>3231</v>
      </c>
      <c r="N1" t="s">
        <v>2685</v>
      </c>
      <c r="O1" t="s">
        <v>2686</v>
      </c>
      <c r="P1" t="s">
        <v>2687</v>
      </c>
      <c r="Q1" t="s">
        <v>185</v>
      </c>
      <c r="R1" t="s">
        <v>2688</v>
      </c>
      <c r="S1" t="s">
        <v>3232</v>
      </c>
      <c r="T1" t="s">
        <v>2693</v>
      </c>
      <c r="U1" t="s">
        <v>187</v>
      </c>
      <c r="V1" t="s">
        <v>2695</v>
      </c>
      <c r="W1" t="s">
        <v>3233</v>
      </c>
    </row>
    <row r="2" spans="1:23">
      <c r="A2" s="233" t="s">
        <v>2253</v>
      </c>
      <c r="B2" t="s">
        <v>2656</v>
      </c>
      <c r="C2" s="233" t="s">
        <v>1693</v>
      </c>
      <c r="D2" s="372"/>
      <c r="E2" s="372" t="s">
        <v>3029</v>
      </c>
      <c r="G2" s="233" t="s">
        <v>2254</v>
      </c>
      <c r="H2" s="233" t="s">
        <v>1694</v>
      </c>
      <c r="I2" s="233" t="s">
        <v>2255</v>
      </c>
      <c r="J2" s="233" t="s">
        <v>2256</v>
      </c>
      <c r="K2" s="233" t="s">
        <v>1695</v>
      </c>
      <c r="L2" s="233" t="s">
        <v>2257</v>
      </c>
      <c r="M2" s="233" t="s">
        <v>2258</v>
      </c>
      <c r="N2" s="233" t="s">
        <v>1696</v>
      </c>
      <c r="O2" s="236" t="s">
        <v>1697</v>
      </c>
      <c r="P2" s="233" t="s">
        <v>1698</v>
      </c>
    </row>
    <row r="3" spans="1:23">
      <c r="A3" s="229">
        <v>1</v>
      </c>
      <c r="B3">
        <v>47</v>
      </c>
      <c r="C3" s="185" t="s">
        <v>973</v>
      </c>
      <c r="D3" s="371"/>
      <c r="E3" s="371" t="s">
        <v>1121</v>
      </c>
      <c r="F3" s="229" t="s">
        <v>3154</v>
      </c>
      <c r="G3" s="235" t="s">
        <v>2067</v>
      </c>
      <c r="H3" s="229" t="s">
        <v>2068</v>
      </c>
      <c r="I3" s="229"/>
      <c r="J3" s="229">
        <v>0</v>
      </c>
      <c r="K3" s="229">
        <v>1350000</v>
      </c>
      <c r="L3" s="229">
        <v>0</v>
      </c>
      <c r="M3" s="229">
        <v>0</v>
      </c>
      <c r="N3" s="229">
        <v>854778</v>
      </c>
      <c r="O3" s="229" t="s">
        <v>2069</v>
      </c>
      <c r="P3" s="229" t="s">
        <v>17</v>
      </c>
    </row>
    <row r="4" spans="1:23">
      <c r="A4" s="229">
        <v>2</v>
      </c>
      <c r="B4">
        <v>53</v>
      </c>
      <c r="C4" s="185" t="s">
        <v>623</v>
      </c>
      <c r="D4" s="371"/>
      <c r="E4" s="371" t="s">
        <v>298</v>
      </c>
      <c r="F4" s="229" t="s">
        <v>3155</v>
      </c>
      <c r="G4" s="235" t="s">
        <v>2070</v>
      </c>
      <c r="H4" s="229" t="s">
        <v>2071</v>
      </c>
      <c r="I4" s="229"/>
      <c r="J4" s="229">
        <v>0</v>
      </c>
      <c r="K4" s="229">
        <v>9169878</v>
      </c>
      <c r="L4" s="229">
        <v>0</v>
      </c>
      <c r="M4" s="229">
        <v>0</v>
      </c>
      <c r="N4" s="229">
        <v>15463191.26</v>
      </c>
      <c r="O4" s="229" t="s">
        <v>2069</v>
      </c>
      <c r="P4" s="229" t="s">
        <v>17</v>
      </c>
    </row>
    <row r="5" spans="1:23">
      <c r="A5" s="229">
        <v>3</v>
      </c>
      <c r="B5">
        <v>53</v>
      </c>
      <c r="C5" s="185" t="s">
        <v>623</v>
      </c>
      <c r="D5" s="371"/>
      <c r="E5" s="371" t="s">
        <v>298</v>
      </c>
      <c r="F5" s="229" t="s">
        <v>3156</v>
      </c>
      <c r="G5" s="235" t="s">
        <v>2072</v>
      </c>
      <c r="H5" s="229" t="s">
        <v>2073</v>
      </c>
      <c r="I5" s="229"/>
      <c r="J5" s="229">
        <v>0</v>
      </c>
      <c r="K5" s="229">
        <v>8208516</v>
      </c>
      <c r="L5" s="229">
        <v>0</v>
      </c>
      <c r="M5" s="229">
        <v>0</v>
      </c>
      <c r="N5" s="229">
        <v>14821493</v>
      </c>
      <c r="O5" s="229" t="s">
        <v>2069</v>
      </c>
      <c r="P5" s="229" t="s">
        <v>17</v>
      </c>
    </row>
    <row r="6" spans="1:23">
      <c r="A6" s="229">
        <v>4</v>
      </c>
      <c r="B6">
        <v>53</v>
      </c>
      <c r="C6" s="185" t="s">
        <v>623</v>
      </c>
      <c r="D6" s="371"/>
      <c r="E6" s="371" t="s">
        <v>298</v>
      </c>
      <c r="F6" s="229" t="s">
        <v>3157</v>
      </c>
      <c r="G6" s="235" t="s">
        <v>2074</v>
      </c>
      <c r="H6" s="229" t="s">
        <v>2075</v>
      </c>
      <c r="I6" s="229"/>
      <c r="J6" s="229">
        <v>0</v>
      </c>
      <c r="K6" s="229">
        <v>8650697</v>
      </c>
      <c r="L6" s="229">
        <v>0</v>
      </c>
      <c r="M6" s="229">
        <v>0</v>
      </c>
      <c r="N6" s="229">
        <v>4443288</v>
      </c>
      <c r="O6" s="229" t="s">
        <v>1985</v>
      </c>
      <c r="P6" s="229" t="s">
        <v>17</v>
      </c>
    </row>
    <row r="7" spans="1:23">
      <c r="A7" s="229">
        <v>5</v>
      </c>
      <c r="B7">
        <v>69</v>
      </c>
      <c r="C7" s="185" t="s">
        <v>1085</v>
      </c>
      <c r="D7" s="371"/>
      <c r="E7" s="371"/>
      <c r="F7" s="229" t="s">
        <v>3158</v>
      </c>
      <c r="G7" s="235" t="s">
        <v>2076</v>
      </c>
      <c r="H7" s="229" t="s">
        <v>2077</v>
      </c>
      <c r="I7" s="229" t="s">
        <v>2078</v>
      </c>
      <c r="J7" s="229">
        <v>1</v>
      </c>
      <c r="K7" s="229">
        <v>59298629</v>
      </c>
      <c r="L7" s="229">
        <v>64024000</v>
      </c>
      <c r="M7" s="229">
        <v>0</v>
      </c>
      <c r="N7" s="229">
        <v>74380240.620000005</v>
      </c>
      <c r="O7" s="229" t="s">
        <v>2079</v>
      </c>
      <c r="P7" s="229" t="s">
        <v>17</v>
      </c>
    </row>
    <row r="8" spans="1:23">
      <c r="A8" s="229">
        <v>6</v>
      </c>
      <c r="B8">
        <v>89</v>
      </c>
      <c r="C8" s="185" t="s">
        <v>1066</v>
      </c>
      <c r="D8" s="371"/>
      <c r="E8" s="371"/>
      <c r="F8" s="229"/>
      <c r="G8" s="235" t="s">
        <v>2080</v>
      </c>
      <c r="H8" s="229" t="s">
        <v>2081</v>
      </c>
      <c r="I8" s="229" t="s">
        <v>2082</v>
      </c>
      <c r="J8" s="229">
        <v>2</v>
      </c>
      <c r="K8" s="229">
        <v>140834950</v>
      </c>
      <c r="L8" s="229">
        <v>140834950</v>
      </c>
      <c r="M8" s="229">
        <v>0</v>
      </c>
      <c r="N8" s="229">
        <v>73977856</v>
      </c>
      <c r="O8" s="229" t="s">
        <v>2081</v>
      </c>
      <c r="P8" s="229" t="s">
        <v>17</v>
      </c>
    </row>
    <row r="9" spans="1:23">
      <c r="A9" s="229">
        <v>7</v>
      </c>
      <c r="B9">
        <v>88</v>
      </c>
      <c r="C9" s="185" t="s">
        <v>1688</v>
      </c>
      <c r="D9" s="371"/>
      <c r="E9" s="371" t="s">
        <v>298</v>
      </c>
      <c r="F9" s="229" t="s">
        <v>3159</v>
      </c>
      <c r="G9" s="235" t="s">
        <v>2083</v>
      </c>
      <c r="H9" s="229" t="s">
        <v>2084</v>
      </c>
      <c r="I9" s="229" t="s">
        <v>2085</v>
      </c>
      <c r="J9" s="229">
        <v>1</v>
      </c>
      <c r="K9" s="229">
        <v>5500000</v>
      </c>
      <c r="L9" s="229">
        <v>40168045</v>
      </c>
      <c r="M9" s="229">
        <v>120000</v>
      </c>
      <c r="N9" s="229">
        <v>8093943.1299999999</v>
      </c>
      <c r="O9" s="229" t="s">
        <v>2084</v>
      </c>
      <c r="P9" s="229" t="s">
        <v>17</v>
      </c>
    </row>
    <row r="10" spans="1:23">
      <c r="A10" s="229">
        <v>8</v>
      </c>
      <c r="B10">
        <v>85</v>
      </c>
      <c r="C10" s="185" t="s">
        <v>2239</v>
      </c>
      <c r="D10" s="371"/>
      <c r="E10" s="371"/>
      <c r="F10" s="229" t="s">
        <v>3160</v>
      </c>
      <c r="G10" s="235" t="s">
        <v>2086</v>
      </c>
      <c r="H10" s="229" t="s">
        <v>2087</v>
      </c>
      <c r="I10" s="229" t="s">
        <v>2088</v>
      </c>
      <c r="J10" s="229">
        <v>1</v>
      </c>
      <c r="K10" s="229">
        <v>36600000</v>
      </c>
      <c r="L10" s="229">
        <v>118649979</v>
      </c>
      <c r="M10" s="229">
        <v>4305000</v>
      </c>
      <c r="N10" s="229">
        <v>41085924.799999997</v>
      </c>
      <c r="O10" s="229" t="s">
        <v>2089</v>
      </c>
      <c r="P10" s="229" t="s">
        <v>17</v>
      </c>
    </row>
    <row r="11" spans="1:23">
      <c r="A11" s="229">
        <v>9</v>
      </c>
      <c r="B11">
        <v>39</v>
      </c>
      <c r="C11" s="185" t="s">
        <v>1682</v>
      </c>
      <c r="D11" s="371"/>
      <c r="E11" s="371" t="s">
        <v>298</v>
      </c>
      <c r="F11" s="229" t="s">
        <v>3161</v>
      </c>
      <c r="G11" s="235" t="s">
        <v>2090</v>
      </c>
      <c r="H11" s="229" t="s">
        <v>2091</v>
      </c>
      <c r="I11" s="229" t="s">
        <v>2092</v>
      </c>
      <c r="J11" s="229">
        <v>1</v>
      </c>
      <c r="K11" s="229">
        <v>68300000</v>
      </c>
      <c r="L11" s="229">
        <v>68300000</v>
      </c>
      <c r="M11" s="229">
        <v>0</v>
      </c>
      <c r="N11" s="229">
        <v>75623180</v>
      </c>
      <c r="O11" s="229" t="s">
        <v>2093</v>
      </c>
      <c r="P11" s="229" t="s">
        <v>17</v>
      </c>
    </row>
    <row r="12" spans="1:23">
      <c r="A12" s="229">
        <v>10</v>
      </c>
      <c r="B12">
        <v>32</v>
      </c>
      <c r="C12" s="185" t="s">
        <v>1641</v>
      </c>
      <c r="D12" s="371"/>
      <c r="E12" s="371"/>
      <c r="F12" s="229" t="s">
        <v>3162</v>
      </c>
      <c r="G12" s="229" t="s">
        <v>3162</v>
      </c>
      <c r="H12" s="229" t="s">
        <v>2094</v>
      </c>
      <c r="I12" s="229" t="s">
        <v>2095</v>
      </c>
      <c r="J12" s="229">
        <v>2</v>
      </c>
      <c r="K12" s="229">
        <v>42300000</v>
      </c>
      <c r="L12" s="229">
        <v>50600000</v>
      </c>
      <c r="M12" s="229">
        <v>0</v>
      </c>
      <c r="N12" s="229">
        <v>48713964</v>
      </c>
      <c r="O12" s="229" t="s">
        <v>2093</v>
      </c>
      <c r="P12" s="229" t="s">
        <v>17</v>
      </c>
    </row>
    <row r="13" spans="1:23">
      <c r="A13" s="229">
        <v>11</v>
      </c>
      <c r="B13">
        <v>68</v>
      </c>
      <c r="C13" s="185" t="s">
        <v>1681</v>
      </c>
      <c r="D13" s="371"/>
      <c r="E13" s="371"/>
      <c r="F13" s="229" t="s">
        <v>3219</v>
      </c>
      <c r="G13" s="229" t="s">
        <v>3219</v>
      </c>
      <c r="H13" s="229" t="s">
        <v>2096</v>
      </c>
      <c r="I13" s="229" t="s">
        <v>2097</v>
      </c>
      <c r="J13" s="229">
        <v>1</v>
      </c>
      <c r="K13" s="229">
        <v>115700000</v>
      </c>
      <c r="L13" s="229">
        <v>129424770</v>
      </c>
      <c r="M13" s="229">
        <v>6900000</v>
      </c>
      <c r="N13" s="229">
        <v>141882385</v>
      </c>
      <c r="O13" s="229" t="s">
        <v>2093</v>
      </c>
      <c r="P13" s="229" t="s">
        <v>17</v>
      </c>
    </row>
    <row r="14" spans="1:23">
      <c r="A14" s="229">
        <v>12</v>
      </c>
      <c r="B14">
        <v>29</v>
      </c>
      <c r="C14" s="185" t="s">
        <v>2246</v>
      </c>
      <c r="D14" s="371"/>
      <c r="E14" s="371"/>
      <c r="F14" s="229" t="s">
        <v>3163</v>
      </c>
      <c r="G14" s="235" t="s">
        <v>2098</v>
      </c>
      <c r="H14" s="229" t="s">
        <v>2099</v>
      </c>
      <c r="I14" s="229"/>
      <c r="J14" s="229">
        <v>0</v>
      </c>
      <c r="K14" s="229">
        <v>844700000</v>
      </c>
      <c r="L14" s="229">
        <v>0</v>
      </c>
      <c r="M14" s="229">
        <v>149550000</v>
      </c>
      <c r="N14" s="229">
        <v>1514534696.74</v>
      </c>
      <c r="O14" s="229" t="s">
        <v>2093</v>
      </c>
      <c r="P14" s="229" t="s">
        <v>17</v>
      </c>
    </row>
    <row r="15" spans="1:23">
      <c r="A15" s="229">
        <v>13</v>
      </c>
      <c r="B15">
        <v>39</v>
      </c>
      <c r="C15" s="185" t="s">
        <v>1682</v>
      </c>
      <c r="D15" s="371"/>
      <c r="E15" s="371" t="s">
        <v>2520</v>
      </c>
      <c r="F15" s="229" t="s">
        <v>3164</v>
      </c>
      <c r="G15" s="235" t="s">
        <v>2100</v>
      </c>
      <c r="H15" s="229" t="s">
        <v>2091</v>
      </c>
      <c r="I15" s="229" t="s">
        <v>2092</v>
      </c>
      <c r="J15" s="229">
        <v>1</v>
      </c>
      <c r="K15" s="229">
        <v>244803940</v>
      </c>
      <c r="L15" s="229">
        <v>244803940</v>
      </c>
      <c r="M15" s="229">
        <v>400000</v>
      </c>
      <c r="N15" s="229">
        <v>293301158.35000002</v>
      </c>
      <c r="O15" s="229" t="s">
        <v>2093</v>
      </c>
      <c r="P15" s="229" t="s">
        <v>17</v>
      </c>
    </row>
    <row r="16" spans="1:23">
      <c r="A16" s="229">
        <v>14</v>
      </c>
      <c r="B16">
        <v>98</v>
      </c>
      <c r="C16" s="185" t="s">
        <v>1691</v>
      </c>
      <c r="D16" s="371"/>
      <c r="E16" s="371" t="s">
        <v>298</v>
      </c>
      <c r="F16" s="229" t="s">
        <v>3165</v>
      </c>
      <c r="G16" s="235" t="s">
        <v>1062</v>
      </c>
      <c r="H16" s="229" t="s">
        <v>2101</v>
      </c>
      <c r="I16" s="229" t="s">
        <v>2102</v>
      </c>
      <c r="J16" s="229">
        <v>3</v>
      </c>
      <c r="K16" s="229">
        <v>123500000</v>
      </c>
      <c r="L16" s="229">
        <v>123500000</v>
      </c>
      <c r="M16" s="229">
        <v>200000</v>
      </c>
      <c r="N16" s="229">
        <v>135174451.16999999</v>
      </c>
      <c r="O16" s="229" t="s">
        <v>2103</v>
      </c>
      <c r="P16" s="229" t="s">
        <v>17</v>
      </c>
    </row>
    <row r="17" spans="1:16">
      <c r="A17" s="229">
        <v>15</v>
      </c>
      <c r="B17">
        <v>29</v>
      </c>
      <c r="C17" s="185" t="s">
        <v>2246</v>
      </c>
      <c r="D17" s="371"/>
      <c r="E17" s="371"/>
      <c r="F17" s="229" t="s">
        <v>3166</v>
      </c>
      <c r="G17" s="235" t="s">
        <v>1042</v>
      </c>
      <c r="H17" s="229" t="s">
        <v>2104</v>
      </c>
      <c r="I17" s="229" t="s">
        <v>2095</v>
      </c>
      <c r="J17" s="229">
        <v>3</v>
      </c>
      <c r="K17" s="229">
        <v>124300000</v>
      </c>
      <c r="L17" s="229">
        <v>0</v>
      </c>
      <c r="M17" s="229">
        <v>500000</v>
      </c>
      <c r="N17" s="229">
        <v>266594422.31</v>
      </c>
      <c r="O17" s="229" t="s">
        <v>2093</v>
      </c>
      <c r="P17" s="229" t="s">
        <v>17</v>
      </c>
    </row>
    <row r="18" spans="1:16">
      <c r="A18" s="229">
        <v>16</v>
      </c>
      <c r="B18">
        <v>31</v>
      </c>
      <c r="C18" s="185" t="s">
        <v>1626</v>
      </c>
      <c r="D18" s="371"/>
      <c r="E18" s="371"/>
      <c r="F18" s="229" t="s">
        <v>3167</v>
      </c>
      <c r="G18" s="235" t="s">
        <v>3220</v>
      </c>
      <c r="H18" s="229" t="s">
        <v>2105</v>
      </c>
      <c r="I18" s="229" t="s">
        <v>2097</v>
      </c>
      <c r="J18" s="229">
        <v>1</v>
      </c>
      <c r="K18" s="229">
        <v>585900000</v>
      </c>
      <c r="L18" s="229">
        <v>702100000</v>
      </c>
      <c r="M18" s="229">
        <v>47300000</v>
      </c>
      <c r="N18" s="229">
        <v>677637867.34000003</v>
      </c>
      <c r="O18" s="229" t="s">
        <v>2106</v>
      </c>
      <c r="P18" s="229" t="s">
        <v>17</v>
      </c>
    </row>
    <row r="19" spans="1:16">
      <c r="A19" s="229">
        <v>17</v>
      </c>
      <c r="B19">
        <v>103</v>
      </c>
      <c r="C19" s="185" t="s">
        <v>1689</v>
      </c>
      <c r="D19" s="371"/>
      <c r="E19" s="371"/>
      <c r="F19" s="229" t="s">
        <v>3168</v>
      </c>
      <c r="G19" s="229" t="s">
        <v>3168</v>
      </c>
      <c r="H19" s="229" t="s">
        <v>2107</v>
      </c>
      <c r="I19" s="229"/>
      <c r="J19" s="229">
        <v>0</v>
      </c>
      <c r="K19" s="229">
        <v>18032074</v>
      </c>
      <c r="L19" s="229">
        <v>0</v>
      </c>
      <c r="M19" s="229">
        <v>708000</v>
      </c>
      <c r="N19" s="229">
        <v>26838758</v>
      </c>
      <c r="O19" s="229" t="s">
        <v>2107</v>
      </c>
      <c r="P19" s="229" t="s">
        <v>17</v>
      </c>
    </row>
    <row r="20" spans="1:16">
      <c r="A20" s="229">
        <v>18</v>
      </c>
      <c r="B20">
        <v>103</v>
      </c>
      <c r="C20" s="185" t="s">
        <v>1689</v>
      </c>
      <c r="D20" s="371"/>
      <c r="E20" s="371"/>
      <c r="F20" s="229" t="s">
        <v>3169</v>
      </c>
      <c r="G20" s="229" t="s">
        <v>3169</v>
      </c>
      <c r="H20" s="229" t="s">
        <v>2108</v>
      </c>
      <c r="I20" s="229" t="s">
        <v>2085</v>
      </c>
      <c r="J20" s="229">
        <v>1</v>
      </c>
      <c r="K20" s="229">
        <v>14665976</v>
      </c>
      <c r="L20" s="229">
        <v>740251242</v>
      </c>
      <c r="M20" s="229">
        <v>0</v>
      </c>
      <c r="N20" s="229">
        <v>21960581</v>
      </c>
      <c r="O20" s="229" t="s">
        <v>2108</v>
      </c>
      <c r="P20" s="229" t="s">
        <v>17</v>
      </c>
    </row>
    <row r="21" spans="1:16">
      <c r="A21" s="229">
        <v>19</v>
      </c>
      <c r="B21">
        <v>74</v>
      </c>
      <c r="C21" s="185" t="s">
        <v>980</v>
      </c>
      <c r="D21" s="371"/>
      <c r="E21" s="371" t="s">
        <v>3170</v>
      </c>
      <c r="F21" s="229" t="s">
        <v>3173</v>
      </c>
      <c r="G21" s="229" t="s">
        <v>3173</v>
      </c>
      <c r="H21" s="229" t="s">
        <v>2109</v>
      </c>
      <c r="I21" s="229"/>
      <c r="J21" s="229">
        <v>0</v>
      </c>
      <c r="K21" s="229">
        <v>112000000</v>
      </c>
      <c r="L21" s="229">
        <v>0</v>
      </c>
      <c r="M21" s="229">
        <v>699178</v>
      </c>
      <c r="N21" s="229">
        <v>90467850.5</v>
      </c>
      <c r="O21" s="229" t="s">
        <v>2110</v>
      </c>
      <c r="P21" s="229" t="s">
        <v>17</v>
      </c>
    </row>
    <row r="22" spans="1:16">
      <c r="A22" s="229">
        <v>20</v>
      </c>
      <c r="B22">
        <v>107</v>
      </c>
      <c r="C22" s="185" t="s">
        <v>1010</v>
      </c>
      <c r="D22" s="371"/>
      <c r="E22" s="371" t="s">
        <v>298</v>
      </c>
      <c r="F22" s="229" t="s">
        <v>3172</v>
      </c>
      <c r="G22" s="235" t="s">
        <v>2111</v>
      </c>
      <c r="H22" s="229" t="s">
        <v>1985</v>
      </c>
      <c r="I22" s="229" t="s">
        <v>2112</v>
      </c>
      <c r="J22" s="229">
        <v>1</v>
      </c>
      <c r="K22" s="229">
        <v>118392000</v>
      </c>
      <c r="L22" s="229">
        <v>11839200</v>
      </c>
      <c r="M22" s="229">
        <v>0</v>
      </c>
      <c r="N22" s="229">
        <v>95476426.569999993</v>
      </c>
      <c r="O22" s="229" t="s">
        <v>2113</v>
      </c>
      <c r="P22" s="229" t="s">
        <v>17</v>
      </c>
    </row>
    <row r="23" spans="1:16">
      <c r="A23" s="229">
        <v>21</v>
      </c>
      <c r="B23">
        <v>94</v>
      </c>
      <c r="C23" s="185" t="s">
        <v>1690</v>
      </c>
      <c r="D23" s="371"/>
      <c r="E23" s="371" t="s">
        <v>298</v>
      </c>
      <c r="F23" s="229" t="s">
        <v>3171</v>
      </c>
      <c r="G23" s="235" t="s">
        <v>2114</v>
      </c>
      <c r="H23" s="229" t="s">
        <v>2115</v>
      </c>
      <c r="I23" s="229"/>
      <c r="J23" s="229">
        <v>0</v>
      </c>
      <c r="K23" s="229">
        <v>28700000</v>
      </c>
      <c r="L23" s="229">
        <v>0</v>
      </c>
      <c r="M23" s="229">
        <v>2800000</v>
      </c>
      <c r="N23" s="229">
        <v>38570094</v>
      </c>
      <c r="O23" s="229" t="s">
        <v>2116</v>
      </c>
      <c r="P23" s="229" t="s">
        <v>17</v>
      </c>
    </row>
    <row r="24" spans="1:16">
      <c r="A24" s="229">
        <v>22</v>
      </c>
      <c r="B24">
        <v>40</v>
      </c>
      <c r="C24" s="185" t="s">
        <v>970</v>
      </c>
      <c r="D24" s="371"/>
      <c r="E24" s="371"/>
      <c r="F24" s="229" t="s">
        <v>3174</v>
      </c>
      <c r="G24" s="235" t="s">
        <v>2114</v>
      </c>
      <c r="H24" s="229" t="s">
        <v>2117</v>
      </c>
      <c r="I24" s="229"/>
      <c r="J24" s="229">
        <v>0</v>
      </c>
      <c r="K24" s="229">
        <v>88400000</v>
      </c>
      <c r="L24" s="229">
        <v>0</v>
      </c>
      <c r="M24" s="229">
        <v>0</v>
      </c>
      <c r="N24" s="229">
        <v>126397982.98999999</v>
      </c>
      <c r="O24" s="229" t="s">
        <v>2118</v>
      </c>
      <c r="P24" s="229" t="s">
        <v>17</v>
      </c>
    </row>
    <row r="25" spans="1:16">
      <c r="A25" s="229">
        <v>23</v>
      </c>
      <c r="B25">
        <v>22</v>
      </c>
      <c r="C25" s="185" t="s">
        <v>126</v>
      </c>
      <c r="D25" s="371"/>
      <c r="E25" s="371"/>
      <c r="F25" s="229" t="s">
        <v>3175</v>
      </c>
      <c r="G25" s="229" t="s">
        <v>3175</v>
      </c>
      <c r="H25" s="229" t="s">
        <v>2119</v>
      </c>
      <c r="I25" s="229" t="s">
        <v>2120</v>
      </c>
      <c r="J25" s="229">
        <v>2</v>
      </c>
      <c r="K25" s="229">
        <v>1197700000</v>
      </c>
      <c r="L25" s="229">
        <v>1197700000</v>
      </c>
      <c r="M25" s="229">
        <v>45100000</v>
      </c>
      <c r="N25" s="229">
        <v>1348136035</v>
      </c>
      <c r="O25" s="229" t="s">
        <v>2121</v>
      </c>
      <c r="P25" s="229" t="s">
        <v>17</v>
      </c>
    </row>
    <row r="26" spans="1:16">
      <c r="A26" s="229">
        <v>24</v>
      </c>
      <c r="B26">
        <v>20</v>
      </c>
      <c r="C26" s="185" t="s">
        <v>132</v>
      </c>
      <c r="D26" s="371"/>
      <c r="E26" s="371"/>
      <c r="F26" s="229" t="s">
        <v>3176</v>
      </c>
      <c r="G26" s="229" t="s">
        <v>3176</v>
      </c>
      <c r="H26" s="229" t="s">
        <v>2119</v>
      </c>
      <c r="I26" s="229" t="s">
        <v>2120</v>
      </c>
      <c r="J26" s="229">
        <v>2</v>
      </c>
      <c r="K26" s="229">
        <v>92600000</v>
      </c>
      <c r="L26" s="229">
        <v>92600000</v>
      </c>
      <c r="M26" s="229">
        <v>4100000</v>
      </c>
      <c r="N26" s="229">
        <v>99705637</v>
      </c>
      <c r="O26" s="229" t="s">
        <v>2121</v>
      </c>
      <c r="P26" s="229" t="s">
        <v>17</v>
      </c>
    </row>
    <row r="27" spans="1:16">
      <c r="A27" s="229">
        <v>25</v>
      </c>
      <c r="B27">
        <v>20</v>
      </c>
      <c r="C27" s="185" t="s">
        <v>132</v>
      </c>
      <c r="D27" s="371"/>
      <c r="E27" s="371"/>
      <c r="F27" s="229" t="s">
        <v>3177</v>
      </c>
      <c r="G27" s="229" t="s">
        <v>3177</v>
      </c>
      <c r="H27" s="229" t="s">
        <v>2119</v>
      </c>
      <c r="I27" s="229" t="s">
        <v>2124</v>
      </c>
      <c r="J27" s="229">
        <v>2</v>
      </c>
      <c r="K27" s="229">
        <v>21900000</v>
      </c>
      <c r="L27" s="229">
        <v>21900000</v>
      </c>
      <c r="M27" s="229">
        <v>1146425</v>
      </c>
      <c r="N27" s="229">
        <v>26210255</v>
      </c>
      <c r="O27" s="229" t="s">
        <v>2121</v>
      </c>
      <c r="P27" s="229" t="s">
        <v>17</v>
      </c>
    </row>
    <row r="28" spans="1:16">
      <c r="A28" s="229">
        <v>26</v>
      </c>
      <c r="B28">
        <v>23</v>
      </c>
      <c r="C28" s="185" t="s">
        <v>1622</v>
      </c>
      <c r="D28" s="371"/>
      <c r="E28" s="371"/>
      <c r="F28" s="229" t="s">
        <v>3178</v>
      </c>
      <c r="G28" s="229" t="s">
        <v>3178</v>
      </c>
      <c r="H28" s="229" t="s">
        <v>2126</v>
      </c>
      <c r="I28" s="229" t="s">
        <v>2127</v>
      </c>
      <c r="J28" s="229">
        <v>2</v>
      </c>
      <c r="K28" s="229">
        <v>633600000</v>
      </c>
      <c r="L28" s="229">
        <v>633600000</v>
      </c>
      <c r="M28" s="229">
        <v>28300000</v>
      </c>
      <c r="N28" s="229">
        <v>582654404</v>
      </c>
      <c r="O28" s="229" t="s">
        <v>2115</v>
      </c>
      <c r="P28" s="229" t="s">
        <v>17</v>
      </c>
    </row>
    <row r="29" spans="1:16">
      <c r="A29" s="229">
        <v>27</v>
      </c>
      <c r="B29">
        <v>22</v>
      </c>
      <c r="C29" s="185" t="s">
        <v>126</v>
      </c>
      <c r="D29" s="371"/>
      <c r="E29" s="371"/>
      <c r="F29" s="229" t="s">
        <v>3179</v>
      </c>
      <c r="G29" s="229" t="s">
        <v>3179</v>
      </c>
      <c r="H29" s="229" t="s">
        <v>2119</v>
      </c>
      <c r="I29" s="229" t="s">
        <v>2124</v>
      </c>
      <c r="J29" s="229">
        <v>2</v>
      </c>
      <c r="K29" s="229">
        <v>478500000</v>
      </c>
      <c r="L29" s="229">
        <v>478500000</v>
      </c>
      <c r="M29" s="229">
        <v>14800000</v>
      </c>
      <c r="N29" s="229">
        <v>563054937</v>
      </c>
      <c r="O29" s="229" t="s">
        <v>2121</v>
      </c>
      <c r="P29" s="229" t="s">
        <v>17</v>
      </c>
    </row>
    <row r="30" spans="1:16">
      <c r="A30" s="229">
        <v>28</v>
      </c>
      <c r="B30">
        <v>107</v>
      </c>
      <c r="C30" s="185" t="s">
        <v>1010</v>
      </c>
      <c r="D30" s="371"/>
      <c r="E30" s="371" t="s">
        <v>298</v>
      </c>
      <c r="F30" s="229" t="s">
        <v>3180</v>
      </c>
      <c r="G30" s="235" t="s">
        <v>2128</v>
      </c>
      <c r="H30" s="229" t="s">
        <v>2129</v>
      </c>
      <c r="I30" s="229" t="s">
        <v>2112</v>
      </c>
      <c r="J30" s="229">
        <v>1</v>
      </c>
      <c r="K30" s="229">
        <v>58338960</v>
      </c>
      <c r="L30" s="229">
        <v>0</v>
      </c>
      <c r="M30" s="229">
        <v>0</v>
      </c>
      <c r="N30" s="229">
        <v>75179764.390000001</v>
      </c>
      <c r="O30" s="229" t="s">
        <v>2113</v>
      </c>
      <c r="P30" s="229" t="s">
        <v>17</v>
      </c>
    </row>
    <row r="31" spans="1:16">
      <c r="A31" s="229">
        <v>29</v>
      </c>
      <c r="B31">
        <v>33</v>
      </c>
      <c r="C31" s="185" t="s">
        <v>1452</v>
      </c>
      <c r="D31" s="371"/>
      <c r="E31" s="371" t="s">
        <v>298</v>
      </c>
      <c r="F31" s="229" t="s">
        <v>3181</v>
      </c>
      <c r="G31" s="235" t="s">
        <v>2130</v>
      </c>
      <c r="H31" s="229" t="s">
        <v>2131</v>
      </c>
      <c r="I31" s="229" t="s">
        <v>2132</v>
      </c>
      <c r="J31" s="229">
        <v>1</v>
      </c>
      <c r="K31" s="229">
        <v>49708583</v>
      </c>
      <c r="L31" s="229">
        <v>49869000</v>
      </c>
      <c r="M31" s="229">
        <v>9045298</v>
      </c>
      <c r="N31" s="229">
        <v>38742828</v>
      </c>
      <c r="O31" s="229" t="s">
        <v>2133</v>
      </c>
      <c r="P31" s="229" t="s">
        <v>17</v>
      </c>
    </row>
    <row r="32" spans="1:16">
      <c r="A32" s="229">
        <v>30</v>
      </c>
      <c r="B32">
        <v>33</v>
      </c>
      <c r="C32" s="185" t="s">
        <v>1452</v>
      </c>
      <c r="D32" s="371"/>
      <c r="E32" s="371" t="s">
        <v>298</v>
      </c>
      <c r="F32" s="229" t="s">
        <v>2134</v>
      </c>
      <c r="G32" s="235" t="s">
        <v>2134</v>
      </c>
      <c r="H32" s="229" t="s">
        <v>2131</v>
      </c>
      <c r="I32" s="229" t="s">
        <v>2135</v>
      </c>
      <c r="J32" s="229">
        <v>1</v>
      </c>
      <c r="K32" s="229">
        <v>22335402</v>
      </c>
      <c r="L32" s="229">
        <v>49869000</v>
      </c>
      <c r="M32" s="229">
        <v>2260260</v>
      </c>
      <c r="N32" s="229">
        <v>18580673</v>
      </c>
      <c r="O32" s="229" t="s">
        <v>2133</v>
      </c>
      <c r="P32" s="229" t="s">
        <v>17</v>
      </c>
    </row>
    <row r="33" spans="1:16">
      <c r="A33" s="229">
        <v>31</v>
      </c>
      <c r="B33">
        <v>108</v>
      </c>
      <c r="C33" s="185" t="s">
        <v>2251</v>
      </c>
      <c r="D33" s="371"/>
      <c r="E33" s="371"/>
      <c r="F33" s="229" t="s">
        <v>3182</v>
      </c>
      <c r="G33" s="235" t="s">
        <v>2136</v>
      </c>
      <c r="H33" s="229" t="s">
        <v>2137</v>
      </c>
      <c r="I33" s="229"/>
      <c r="J33" s="229">
        <v>0</v>
      </c>
      <c r="K33" s="229">
        <v>845150995</v>
      </c>
      <c r="L33" s="229">
        <v>0</v>
      </c>
      <c r="M33" s="229">
        <v>352212348</v>
      </c>
      <c r="N33" s="229">
        <v>837049050</v>
      </c>
      <c r="O33" s="229" t="s">
        <v>2138</v>
      </c>
      <c r="P33" s="229" t="s">
        <v>17</v>
      </c>
    </row>
    <row r="34" spans="1:16">
      <c r="A34" s="229">
        <v>32</v>
      </c>
      <c r="B34">
        <v>109</v>
      </c>
      <c r="C34" s="185" t="s">
        <v>1599</v>
      </c>
      <c r="D34" s="371"/>
      <c r="E34" s="371"/>
      <c r="F34" s="229" t="s">
        <v>3183</v>
      </c>
      <c r="G34" s="235" t="s">
        <v>2139</v>
      </c>
      <c r="H34" s="229" t="s">
        <v>2140</v>
      </c>
      <c r="I34" s="229"/>
      <c r="J34" s="229">
        <v>0</v>
      </c>
      <c r="K34" s="229">
        <v>1670445267</v>
      </c>
      <c r="L34" s="229">
        <v>0</v>
      </c>
      <c r="M34" s="229">
        <v>329251299</v>
      </c>
      <c r="N34" s="229">
        <v>2067505538</v>
      </c>
      <c r="O34" s="229" t="s">
        <v>1917</v>
      </c>
      <c r="P34" s="229" t="s">
        <v>17</v>
      </c>
    </row>
    <row r="35" spans="1:16">
      <c r="A35" s="229">
        <v>33</v>
      </c>
      <c r="B35">
        <v>110</v>
      </c>
      <c r="C35" s="185" t="s">
        <v>2252</v>
      </c>
      <c r="D35" s="371"/>
      <c r="E35" s="371"/>
      <c r="F35" s="229" t="s">
        <v>2141</v>
      </c>
      <c r="G35" s="235" t="s">
        <v>2141</v>
      </c>
      <c r="H35" s="229" t="s">
        <v>2142</v>
      </c>
      <c r="I35" s="229"/>
      <c r="J35" s="229">
        <v>0</v>
      </c>
      <c r="K35" s="229">
        <v>31248525</v>
      </c>
      <c r="L35" s="229">
        <v>0</v>
      </c>
      <c r="M35" s="229">
        <v>43258777</v>
      </c>
      <c r="N35" s="229">
        <v>42670023.609999999</v>
      </c>
      <c r="O35" s="229" t="s">
        <v>2143</v>
      </c>
      <c r="P35" s="229" t="s">
        <v>17</v>
      </c>
    </row>
    <row r="36" spans="1:16">
      <c r="A36" s="229">
        <v>34</v>
      </c>
      <c r="B36">
        <v>23</v>
      </c>
      <c r="C36" s="185" t="s">
        <v>1622</v>
      </c>
      <c r="D36" s="371"/>
      <c r="E36" s="371"/>
      <c r="F36" s="229" t="s">
        <v>3184</v>
      </c>
      <c r="G36" s="235" t="s">
        <v>3214</v>
      </c>
      <c r="H36" s="229" t="s">
        <v>2126</v>
      </c>
      <c r="I36" s="229"/>
      <c r="J36" s="229">
        <v>0</v>
      </c>
      <c r="K36" s="229">
        <v>1179300000</v>
      </c>
      <c r="L36" s="229">
        <v>0</v>
      </c>
      <c r="M36" s="229">
        <v>13075000</v>
      </c>
      <c r="N36" s="229">
        <v>942185325</v>
      </c>
      <c r="O36" s="229" t="s">
        <v>2144</v>
      </c>
      <c r="P36" s="229" t="s">
        <v>17</v>
      </c>
    </row>
    <row r="37" spans="1:16">
      <c r="A37" s="229">
        <v>35</v>
      </c>
      <c r="B37">
        <v>55</v>
      </c>
      <c r="C37" s="185" t="s">
        <v>1602</v>
      </c>
      <c r="D37" s="371"/>
      <c r="E37" s="371"/>
      <c r="F37" s="229" t="s">
        <v>2145</v>
      </c>
      <c r="G37" s="235" t="s">
        <v>2145</v>
      </c>
      <c r="H37" s="229" t="s">
        <v>2146</v>
      </c>
      <c r="I37" s="229" t="s">
        <v>2147</v>
      </c>
      <c r="J37" s="229">
        <v>2</v>
      </c>
      <c r="K37" s="229">
        <v>39500000</v>
      </c>
      <c r="L37" s="229">
        <v>49100000</v>
      </c>
      <c r="M37" s="229">
        <v>0</v>
      </c>
      <c r="N37" s="229">
        <v>46833381.560000002</v>
      </c>
      <c r="O37" s="229" t="s">
        <v>2148</v>
      </c>
      <c r="P37" s="229" t="s">
        <v>17</v>
      </c>
    </row>
    <row r="38" spans="1:16">
      <c r="A38" s="229">
        <v>36</v>
      </c>
      <c r="B38">
        <v>99</v>
      </c>
      <c r="C38" s="185" t="s">
        <v>159</v>
      </c>
      <c r="D38" s="371"/>
      <c r="E38" s="371" t="s">
        <v>1121</v>
      </c>
      <c r="F38" s="229" t="s">
        <v>2149</v>
      </c>
      <c r="G38" s="235" t="s">
        <v>2149</v>
      </c>
      <c r="H38" s="229" t="s">
        <v>2150</v>
      </c>
      <c r="I38" s="229"/>
      <c r="J38" s="229">
        <v>0</v>
      </c>
      <c r="K38" s="229">
        <v>195100000</v>
      </c>
      <c r="L38" s="229">
        <v>0</v>
      </c>
      <c r="M38" s="229">
        <v>98017345</v>
      </c>
      <c r="N38" s="229">
        <v>138300617</v>
      </c>
      <c r="O38" s="229" t="s">
        <v>2151</v>
      </c>
      <c r="P38" s="229" t="s">
        <v>17</v>
      </c>
    </row>
    <row r="39" spans="1:16">
      <c r="A39" s="229">
        <v>37</v>
      </c>
      <c r="B39">
        <v>44</v>
      </c>
      <c r="C39" s="185" t="s">
        <v>1664</v>
      </c>
      <c r="D39" s="371"/>
      <c r="E39" s="371" t="s">
        <v>298</v>
      </c>
      <c r="F39" s="229" t="s">
        <v>2152</v>
      </c>
      <c r="G39" s="235" t="s">
        <v>2152</v>
      </c>
      <c r="H39" s="229" t="s">
        <v>2153</v>
      </c>
      <c r="I39" s="229"/>
      <c r="J39" s="229">
        <v>0</v>
      </c>
      <c r="K39" s="229">
        <v>350500000</v>
      </c>
      <c r="L39" s="229">
        <v>0</v>
      </c>
      <c r="M39" s="229">
        <v>64255000</v>
      </c>
      <c r="N39" s="229">
        <v>324631307.79000002</v>
      </c>
      <c r="O39" s="229" t="s">
        <v>2154</v>
      </c>
      <c r="P39" s="229" t="s">
        <v>17</v>
      </c>
    </row>
    <row r="40" spans="1:16">
      <c r="A40" s="229">
        <v>38</v>
      </c>
      <c r="B40">
        <v>78</v>
      </c>
      <c r="C40" s="185" t="s">
        <v>527</v>
      </c>
      <c r="D40" s="371"/>
      <c r="E40" s="371" t="s">
        <v>2520</v>
      </c>
      <c r="F40" s="229" t="s">
        <v>2155</v>
      </c>
      <c r="G40" s="235" t="s">
        <v>2155</v>
      </c>
      <c r="H40" s="229" t="s">
        <v>2156</v>
      </c>
      <c r="I40" s="229"/>
      <c r="J40" s="229">
        <v>0</v>
      </c>
      <c r="K40" s="229">
        <v>66836000</v>
      </c>
      <c r="L40" s="229">
        <v>0</v>
      </c>
      <c r="M40" s="229">
        <v>6889966</v>
      </c>
      <c r="N40" s="229">
        <v>67606688.189999998</v>
      </c>
      <c r="O40" s="229" t="s">
        <v>1800</v>
      </c>
      <c r="P40" s="229" t="s">
        <v>17</v>
      </c>
    </row>
    <row r="41" spans="1:16">
      <c r="A41" s="229">
        <v>39</v>
      </c>
      <c r="B41">
        <v>78</v>
      </c>
      <c r="C41" s="185" t="s">
        <v>527</v>
      </c>
      <c r="D41" s="371"/>
      <c r="E41" s="371"/>
      <c r="F41" s="229" t="s">
        <v>2157</v>
      </c>
      <c r="G41" s="235" t="s">
        <v>2157</v>
      </c>
      <c r="H41" s="229" t="s">
        <v>1799</v>
      </c>
      <c r="I41" s="229"/>
      <c r="J41" s="229">
        <v>0</v>
      </c>
      <c r="K41" s="229">
        <v>21086000</v>
      </c>
      <c r="L41" s="229">
        <v>0</v>
      </c>
      <c r="M41" s="229">
        <v>1210000</v>
      </c>
      <c r="N41" s="229">
        <v>22354653</v>
      </c>
      <c r="O41" s="229" t="s">
        <v>2158</v>
      </c>
      <c r="P41" s="229" t="s">
        <v>17</v>
      </c>
    </row>
    <row r="42" spans="1:16">
      <c r="A42" s="229">
        <v>40</v>
      </c>
      <c r="B42">
        <v>100</v>
      </c>
      <c r="C42" s="185" t="s">
        <v>160</v>
      </c>
      <c r="D42" s="371"/>
      <c r="E42" s="371" t="s">
        <v>298</v>
      </c>
      <c r="F42" s="229" t="s">
        <v>2159</v>
      </c>
      <c r="G42" s="235" t="s">
        <v>2159</v>
      </c>
      <c r="H42" s="229" t="s">
        <v>2160</v>
      </c>
      <c r="I42" s="229"/>
      <c r="J42" s="229">
        <v>0</v>
      </c>
      <c r="K42" s="229">
        <v>147971100</v>
      </c>
      <c r="L42" s="229">
        <v>0</v>
      </c>
      <c r="M42" s="229">
        <v>23837937</v>
      </c>
      <c r="N42" s="229">
        <v>154409437</v>
      </c>
      <c r="O42" s="229" t="s">
        <v>2151</v>
      </c>
      <c r="P42" s="229" t="s">
        <v>17</v>
      </c>
    </row>
    <row r="43" spans="1:16">
      <c r="A43" s="229">
        <v>41</v>
      </c>
      <c r="B43">
        <v>99</v>
      </c>
      <c r="C43" s="185" t="s">
        <v>159</v>
      </c>
      <c r="D43" s="371"/>
      <c r="E43" s="371" t="s">
        <v>298</v>
      </c>
      <c r="F43" s="229" t="s">
        <v>2161</v>
      </c>
      <c r="G43" s="235" t="s">
        <v>2161</v>
      </c>
      <c r="H43" s="229" t="s">
        <v>2162</v>
      </c>
      <c r="I43" s="229"/>
      <c r="J43" s="229">
        <v>0</v>
      </c>
      <c r="K43" s="229">
        <v>241500000</v>
      </c>
      <c r="L43" s="229">
        <v>0</v>
      </c>
      <c r="M43" s="229">
        <v>37772133</v>
      </c>
      <c r="N43" s="229">
        <v>228903389</v>
      </c>
      <c r="O43" s="229" t="s">
        <v>2151</v>
      </c>
      <c r="P43" s="229" t="s">
        <v>17</v>
      </c>
    </row>
    <row r="44" spans="1:16">
      <c r="A44" s="229">
        <v>42</v>
      </c>
      <c r="B44">
        <v>22</v>
      </c>
      <c r="C44" s="185" t="s">
        <v>126</v>
      </c>
      <c r="D44" s="371"/>
      <c r="E44" s="371"/>
      <c r="F44" s="229" t="s">
        <v>3062</v>
      </c>
      <c r="G44" s="235" t="s">
        <v>2163</v>
      </c>
      <c r="H44" s="229" t="s">
        <v>2164</v>
      </c>
      <c r="I44" s="229"/>
      <c r="J44" s="229">
        <v>0</v>
      </c>
      <c r="K44" s="229">
        <v>1811600000</v>
      </c>
      <c r="L44" s="229">
        <v>0</v>
      </c>
      <c r="M44" s="229">
        <v>0</v>
      </c>
      <c r="N44" s="229">
        <v>1906808741.04</v>
      </c>
      <c r="O44" s="229" t="s">
        <v>1814</v>
      </c>
      <c r="P44" s="229" t="s">
        <v>17</v>
      </c>
    </row>
    <row r="45" spans="1:16">
      <c r="A45" s="229">
        <v>43</v>
      </c>
      <c r="B45">
        <v>59</v>
      </c>
      <c r="C45" s="185" t="s">
        <v>1443</v>
      </c>
      <c r="D45" s="371"/>
      <c r="E45" s="371" t="s">
        <v>298</v>
      </c>
      <c r="F45" s="229" t="s">
        <v>2165</v>
      </c>
      <c r="G45" s="235" t="s">
        <v>2165</v>
      </c>
      <c r="H45" s="229" t="s">
        <v>2166</v>
      </c>
      <c r="I45" s="229"/>
      <c r="J45" s="229">
        <v>0</v>
      </c>
      <c r="K45" s="229">
        <v>172900000</v>
      </c>
      <c r="L45" s="229">
        <v>0</v>
      </c>
      <c r="M45" s="229">
        <v>24114249</v>
      </c>
      <c r="N45" s="229">
        <v>189062540.69</v>
      </c>
      <c r="O45" s="229" t="s">
        <v>2151</v>
      </c>
      <c r="P45" s="229" t="s">
        <v>17</v>
      </c>
    </row>
    <row r="46" spans="1:16">
      <c r="A46" s="229">
        <v>44</v>
      </c>
      <c r="B46">
        <v>20</v>
      </c>
      <c r="C46" s="185" t="s">
        <v>132</v>
      </c>
      <c r="D46" s="371"/>
      <c r="E46" s="371"/>
      <c r="F46" s="229" t="s">
        <v>3185</v>
      </c>
      <c r="G46" s="235" t="s">
        <v>3185</v>
      </c>
      <c r="H46" s="229" t="s">
        <v>2164</v>
      </c>
      <c r="I46" s="229"/>
      <c r="J46" s="229">
        <v>0</v>
      </c>
      <c r="K46" s="229">
        <v>146400000</v>
      </c>
      <c r="L46" s="229">
        <v>0</v>
      </c>
      <c r="M46" s="229">
        <v>0</v>
      </c>
      <c r="N46" s="229">
        <v>160473209</v>
      </c>
      <c r="O46" s="229" t="s">
        <v>2167</v>
      </c>
      <c r="P46" s="229" t="s">
        <v>17</v>
      </c>
    </row>
    <row r="47" spans="1:16">
      <c r="A47" s="229">
        <v>45</v>
      </c>
      <c r="B47">
        <v>23</v>
      </c>
      <c r="C47" s="185" t="s">
        <v>1622</v>
      </c>
      <c r="D47" s="371"/>
      <c r="E47" s="371"/>
      <c r="F47" s="229" t="s">
        <v>2168</v>
      </c>
      <c r="G47" s="235" t="s">
        <v>2168</v>
      </c>
      <c r="H47" s="229" t="s">
        <v>2153</v>
      </c>
      <c r="I47" s="229"/>
      <c r="J47" s="229">
        <v>0</v>
      </c>
      <c r="K47" s="229">
        <v>573100000</v>
      </c>
      <c r="L47" s="229">
        <v>0</v>
      </c>
      <c r="M47" s="229">
        <v>0</v>
      </c>
      <c r="N47" s="229">
        <v>614179392.89999998</v>
      </c>
      <c r="O47" s="229" t="s">
        <v>2169</v>
      </c>
      <c r="P47" s="229" t="s">
        <v>17</v>
      </c>
    </row>
    <row r="48" spans="1:16">
      <c r="A48" s="229">
        <v>46</v>
      </c>
      <c r="B48">
        <v>49</v>
      </c>
      <c r="C48" s="185" t="s">
        <v>1153</v>
      </c>
      <c r="D48" s="371"/>
      <c r="E48" s="371" t="s">
        <v>298</v>
      </c>
      <c r="F48" s="229" t="s">
        <v>3186</v>
      </c>
      <c r="G48" s="235" t="s">
        <v>2170</v>
      </c>
      <c r="H48" s="229" t="s">
        <v>2171</v>
      </c>
      <c r="I48" s="229"/>
      <c r="J48" s="229">
        <v>0</v>
      </c>
      <c r="K48" s="229">
        <v>169897941</v>
      </c>
      <c r="L48" s="229">
        <v>0</v>
      </c>
      <c r="M48" s="229">
        <v>3098900</v>
      </c>
      <c r="N48" s="229">
        <v>170552840.69999999</v>
      </c>
      <c r="O48" s="229" t="s">
        <v>2172</v>
      </c>
      <c r="P48" s="229" t="s">
        <v>17</v>
      </c>
    </row>
    <row r="49" spans="1:16">
      <c r="A49" s="229">
        <v>47</v>
      </c>
      <c r="B49">
        <v>87</v>
      </c>
      <c r="C49" s="185" t="s">
        <v>1687</v>
      </c>
      <c r="D49" s="371"/>
      <c r="E49" s="371" t="s">
        <v>2520</v>
      </c>
      <c r="F49" s="229" t="s">
        <v>3187</v>
      </c>
      <c r="G49" s="235" t="s">
        <v>3215</v>
      </c>
      <c r="H49" s="229" t="s">
        <v>2173</v>
      </c>
      <c r="I49" s="229"/>
      <c r="J49" s="229">
        <v>0</v>
      </c>
      <c r="K49" s="229">
        <v>53700000</v>
      </c>
      <c r="L49" s="229">
        <v>0</v>
      </c>
      <c r="M49" s="229">
        <v>8000000</v>
      </c>
      <c r="N49" s="229">
        <v>40641104.119999997</v>
      </c>
      <c r="O49" s="229" t="s">
        <v>2009</v>
      </c>
      <c r="P49" s="229" t="s">
        <v>17</v>
      </c>
    </row>
    <row r="50" spans="1:16">
      <c r="A50" s="229">
        <v>48</v>
      </c>
      <c r="B50">
        <v>100</v>
      </c>
      <c r="C50" s="185" t="s">
        <v>160</v>
      </c>
      <c r="D50" s="371"/>
      <c r="E50" s="371" t="s">
        <v>298</v>
      </c>
      <c r="F50" s="229" t="s">
        <v>3188</v>
      </c>
      <c r="G50" s="235" t="s">
        <v>3216</v>
      </c>
      <c r="H50" s="229" t="s">
        <v>2171</v>
      </c>
      <c r="I50" s="229"/>
      <c r="J50" s="229">
        <v>0</v>
      </c>
      <c r="K50" s="229">
        <v>185300000</v>
      </c>
      <c r="L50" s="229">
        <v>0</v>
      </c>
      <c r="M50" s="229">
        <v>13735899</v>
      </c>
      <c r="N50" s="229">
        <v>201466970.50999999</v>
      </c>
      <c r="O50" s="229" t="s">
        <v>2174</v>
      </c>
      <c r="P50" s="229" t="s">
        <v>17</v>
      </c>
    </row>
    <row r="51" spans="1:16">
      <c r="A51" s="229">
        <v>49</v>
      </c>
      <c r="B51">
        <v>111</v>
      </c>
      <c r="C51" s="185" t="s">
        <v>1665</v>
      </c>
      <c r="D51" s="371"/>
      <c r="E51" s="371" t="s">
        <v>298</v>
      </c>
      <c r="F51" s="229" t="s">
        <v>3189</v>
      </c>
      <c r="G51" s="235" t="s">
        <v>3217</v>
      </c>
      <c r="H51" s="229" t="s">
        <v>2175</v>
      </c>
      <c r="I51" s="229"/>
      <c r="J51" s="229">
        <v>0</v>
      </c>
      <c r="K51" s="229">
        <v>130400000</v>
      </c>
      <c r="L51" s="229">
        <v>0</v>
      </c>
      <c r="M51" s="229">
        <v>7674660</v>
      </c>
      <c r="N51" s="229">
        <v>135121588.69</v>
      </c>
      <c r="O51" s="229" t="s">
        <v>2009</v>
      </c>
      <c r="P51" s="229" t="s">
        <v>17</v>
      </c>
    </row>
    <row r="52" spans="1:16">
      <c r="A52" s="229">
        <v>50</v>
      </c>
      <c r="B52">
        <v>11</v>
      </c>
      <c r="C52" s="185" t="s">
        <v>1392</v>
      </c>
      <c r="D52" s="371"/>
      <c r="E52" s="371"/>
      <c r="F52" s="229" t="s">
        <v>3190</v>
      </c>
      <c r="G52" s="235" t="s">
        <v>3190</v>
      </c>
      <c r="H52" s="229" t="s">
        <v>2176</v>
      </c>
      <c r="I52" s="229" t="s">
        <v>2176</v>
      </c>
      <c r="J52" s="229">
        <v>1</v>
      </c>
      <c r="K52" s="229">
        <v>20230927</v>
      </c>
      <c r="L52" s="229">
        <v>0</v>
      </c>
      <c r="M52" s="229">
        <v>26000000</v>
      </c>
      <c r="N52" s="229">
        <v>1539345788</v>
      </c>
      <c r="O52" s="229" t="s">
        <v>2177</v>
      </c>
      <c r="P52" s="229" t="s">
        <v>17</v>
      </c>
    </row>
    <row r="53" spans="1:16">
      <c r="A53" s="229">
        <v>51</v>
      </c>
      <c r="B53">
        <v>12</v>
      </c>
      <c r="C53" s="185" t="s">
        <v>1439</v>
      </c>
      <c r="D53" s="371"/>
      <c r="E53" s="371"/>
      <c r="F53" s="229" t="s">
        <v>3218</v>
      </c>
      <c r="G53" s="229" t="s">
        <v>3218</v>
      </c>
      <c r="H53" s="229" t="s">
        <v>2176</v>
      </c>
      <c r="I53" s="229" t="s">
        <v>2176</v>
      </c>
      <c r="J53" s="229">
        <v>1</v>
      </c>
      <c r="K53" s="229">
        <v>20230927</v>
      </c>
      <c r="L53" s="229">
        <v>0</v>
      </c>
      <c r="M53" s="229">
        <v>23400000</v>
      </c>
      <c r="N53" s="229">
        <v>504210796</v>
      </c>
      <c r="O53" s="229" t="s">
        <v>2177</v>
      </c>
      <c r="P53" s="229" t="s">
        <v>17</v>
      </c>
    </row>
    <row r="54" spans="1:16">
      <c r="A54" s="229">
        <v>52</v>
      </c>
      <c r="B54">
        <v>14</v>
      </c>
      <c r="C54" s="185" t="s">
        <v>2240</v>
      </c>
      <c r="D54" s="371"/>
      <c r="E54" s="371"/>
      <c r="F54" s="229" t="s">
        <v>3191</v>
      </c>
      <c r="G54" s="229" t="s">
        <v>3191</v>
      </c>
      <c r="H54" s="229" t="s">
        <v>2176</v>
      </c>
      <c r="I54" s="229" t="s">
        <v>2176</v>
      </c>
      <c r="J54" s="229">
        <v>1</v>
      </c>
      <c r="K54" s="229">
        <v>203800000</v>
      </c>
      <c r="L54" s="229">
        <v>0</v>
      </c>
      <c r="M54" s="229">
        <v>6995950</v>
      </c>
      <c r="N54" s="229">
        <v>235670258.74000001</v>
      </c>
      <c r="O54" s="229" t="s">
        <v>2177</v>
      </c>
      <c r="P54" s="229" t="s">
        <v>17</v>
      </c>
    </row>
    <row r="55" spans="1:16">
      <c r="A55" s="229">
        <v>53</v>
      </c>
      <c r="B55">
        <v>15</v>
      </c>
      <c r="C55" s="185" t="s">
        <v>1389</v>
      </c>
      <c r="D55" s="371"/>
      <c r="E55" s="371"/>
      <c r="F55" s="229" t="s">
        <v>3192</v>
      </c>
      <c r="G55" s="229" t="s">
        <v>3192</v>
      </c>
      <c r="H55" s="229" t="s">
        <v>2176</v>
      </c>
      <c r="I55" s="229" t="s">
        <v>2176</v>
      </c>
      <c r="J55" s="229">
        <v>1</v>
      </c>
      <c r="K55" s="229">
        <v>798000000</v>
      </c>
      <c r="L55" s="229">
        <v>0</v>
      </c>
      <c r="M55" s="229">
        <v>24600000</v>
      </c>
      <c r="N55" s="229">
        <v>917876862</v>
      </c>
      <c r="O55" s="229" t="s">
        <v>2177</v>
      </c>
      <c r="P55" s="229" t="s">
        <v>17</v>
      </c>
    </row>
    <row r="56" spans="1:16">
      <c r="A56" s="229">
        <v>54</v>
      </c>
      <c r="B56">
        <v>16</v>
      </c>
      <c r="C56" s="185" t="s">
        <v>1446</v>
      </c>
      <c r="D56" s="371"/>
      <c r="E56" s="371"/>
      <c r="F56" s="229" t="s">
        <v>3193</v>
      </c>
      <c r="G56" s="229" t="s">
        <v>3193</v>
      </c>
      <c r="H56" s="229" t="s">
        <v>2176</v>
      </c>
      <c r="I56" s="229" t="s">
        <v>2176</v>
      </c>
      <c r="J56" s="229">
        <v>1</v>
      </c>
      <c r="K56" s="229">
        <v>698900000</v>
      </c>
      <c r="L56" s="229">
        <v>0</v>
      </c>
      <c r="M56" s="229">
        <v>28400000</v>
      </c>
      <c r="N56" s="229">
        <v>803839961.32000005</v>
      </c>
      <c r="O56" s="229" t="s">
        <v>2177</v>
      </c>
      <c r="P56" s="229" t="s">
        <v>17</v>
      </c>
    </row>
    <row r="57" spans="1:16">
      <c r="A57" s="229">
        <v>55</v>
      </c>
      <c r="B57">
        <v>17</v>
      </c>
      <c r="C57" s="185" t="s">
        <v>1395</v>
      </c>
      <c r="D57" s="371"/>
      <c r="E57" s="371"/>
      <c r="F57" s="229" t="s">
        <v>3194</v>
      </c>
      <c r="G57" s="229" t="s">
        <v>3194</v>
      </c>
      <c r="H57" s="229" t="s">
        <v>2176</v>
      </c>
      <c r="I57" s="229" t="s">
        <v>2176</v>
      </c>
      <c r="J57" s="229">
        <v>1</v>
      </c>
      <c r="K57" s="229">
        <v>180600000</v>
      </c>
      <c r="L57" s="229">
        <v>0</v>
      </c>
      <c r="M57" s="229">
        <v>5600000</v>
      </c>
      <c r="N57" s="229">
        <v>208409129</v>
      </c>
      <c r="O57" s="229" t="s">
        <v>2177</v>
      </c>
      <c r="P57" s="229" t="s">
        <v>17</v>
      </c>
    </row>
    <row r="58" spans="1:16">
      <c r="A58" s="229">
        <v>56</v>
      </c>
      <c r="B58">
        <v>18</v>
      </c>
      <c r="C58" s="185" t="s">
        <v>1391</v>
      </c>
      <c r="D58" s="371"/>
      <c r="E58" s="371"/>
      <c r="F58" s="229" t="s">
        <v>3195</v>
      </c>
      <c r="G58" s="229" t="s">
        <v>3195</v>
      </c>
      <c r="H58" s="229" t="s">
        <v>2176</v>
      </c>
      <c r="I58" s="229" t="s">
        <v>2176</v>
      </c>
      <c r="J58" s="229">
        <v>1</v>
      </c>
      <c r="K58" s="229">
        <v>168700000</v>
      </c>
      <c r="L58" s="229">
        <v>0</v>
      </c>
      <c r="M58" s="229">
        <v>10700000</v>
      </c>
      <c r="N58" s="229">
        <v>190750493.81999999</v>
      </c>
      <c r="O58" s="229" t="s">
        <v>2177</v>
      </c>
      <c r="P58" s="229" t="s">
        <v>17</v>
      </c>
    </row>
    <row r="59" spans="1:16">
      <c r="A59" s="229">
        <v>57</v>
      </c>
      <c r="B59">
        <v>19</v>
      </c>
      <c r="C59" s="185" t="s">
        <v>1449</v>
      </c>
      <c r="D59" s="371"/>
      <c r="E59" s="371"/>
      <c r="F59" s="229" t="s">
        <v>3196</v>
      </c>
      <c r="G59" s="229" t="s">
        <v>3196</v>
      </c>
      <c r="H59" s="229" t="s">
        <v>2176</v>
      </c>
      <c r="I59" s="229" t="s">
        <v>2176</v>
      </c>
      <c r="J59" s="229">
        <v>1</v>
      </c>
      <c r="K59" s="229">
        <v>258200000</v>
      </c>
      <c r="L59" s="229">
        <v>0</v>
      </c>
      <c r="M59" s="229">
        <v>3200000</v>
      </c>
      <c r="N59" s="229">
        <v>299501261.06999999</v>
      </c>
      <c r="O59" s="229" t="s">
        <v>2177</v>
      </c>
      <c r="P59" s="229" t="s">
        <v>17</v>
      </c>
    </row>
    <row r="60" spans="1:16">
      <c r="A60" s="229">
        <v>58</v>
      </c>
      <c r="B60">
        <v>101</v>
      </c>
      <c r="C60" s="185" t="s">
        <v>1403</v>
      </c>
      <c r="D60" s="371"/>
      <c r="E60" s="371"/>
      <c r="F60" s="229" t="s">
        <v>3197</v>
      </c>
      <c r="G60" s="235" t="s">
        <v>2178</v>
      </c>
      <c r="H60" s="229" t="s">
        <v>2179</v>
      </c>
      <c r="I60" s="229" t="s">
        <v>2179</v>
      </c>
      <c r="J60" s="229">
        <v>0</v>
      </c>
      <c r="K60" s="229">
        <v>742900000</v>
      </c>
      <c r="L60" s="229">
        <v>0</v>
      </c>
      <c r="M60" s="229">
        <v>89297891</v>
      </c>
      <c r="N60" s="229">
        <v>768118133.39999998</v>
      </c>
      <c r="O60" s="229" t="s">
        <v>2180</v>
      </c>
      <c r="P60" s="229" t="s">
        <v>497</v>
      </c>
    </row>
    <row r="61" spans="1:16">
      <c r="A61" s="229">
        <v>59</v>
      </c>
      <c r="B61">
        <v>102</v>
      </c>
      <c r="C61" s="185" t="s">
        <v>1600</v>
      </c>
      <c r="D61" s="371"/>
      <c r="E61" s="371"/>
      <c r="F61" s="229" t="s">
        <v>3198</v>
      </c>
      <c r="G61" s="235" t="s">
        <v>2181</v>
      </c>
      <c r="H61" s="229" t="s">
        <v>2179</v>
      </c>
      <c r="I61" s="229" t="s">
        <v>2179</v>
      </c>
      <c r="J61" s="229">
        <v>0</v>
      </c>
      <c r="K61" s="229">
        <v>655000000</v>
      </c>
      <c r="L61" s="229">
        <v>0</v>
      </c>
      <c r="M61" s="229">
        <v>70898143</v>
      </c>
      <c r="N61" s="229">
        <v>714286511</v>
      </c>
      <c r="O61" s="229" t="s">
        <v>2180</v>
      </c>
      <c r="P61" s="229" t="s">
        <v>497</v>
      </c>
    </row>
    <row r="62" spans="1:16">
      <c r="A62" s="229">
        <v>60</v>
      </c>
      <c r="B62">
        <v>102</v>
      </c>
      <c r="C62" s="185" t="s">
        <v>1600</v>
      </c>
      <c r="D62" s="371"/>
      <c r="E62" s="371"/>
      <c r="F62" s="229" t="s">
        <v>3199</v>
      </c>
      <c r="G62" s="229" t="s">
        <v>3199</v>
      </c>
      <c r="H62" s="229" t="s">
        <v>2182</v>
      </c>
      <c r="I62" s="229" t="s">
        <v>2182</v>
      </c>
      <c r="J62" s="229">
        <v>0</v>
      </c>
      <c r="K62" s="229">
        <v>84100000</v>
      </c>
      <c r="L62" s="229">
        <v>0</v>
      </c>
      <c r="M62" s="229">
        <v>2700000</v>
      </c>
      <c r="N62" s="229">
        <v>84246631</v>
      </c>
      <c r="O62" s="229" t="s">
        <v>2183</v>
      </c>
      <c r="P62" s="229" t="s">
        <v>497</v>
      </c>
    </row>
    <row r="63" spans="1:16">
      <c r="A63" s="229">
        <v>61</v>
      </c>
      <c r="B63">
        <v>101</v>
      </c>
      <c r="C63" s="185" t="s">
        <v>1403</v>
      </c>
      <c r="D63" s="371"/>
      <c r="E63" s="371"/>
      <c r="F63" s="229" t="s">
        <v>3200</v>
      </c>
      <c r="G63" s="229" t="s">
        <v>3200</v>
      </c>
      <c r="H63" s="229" t="s">
        <v>2184</v>
      </c>
      <c r="I63" s="229" t="s">
        <v>2184</v>
      </c>
      <c r="J63" s="229">
        <v>0</v>
      </c>
      <c r="K63" s="229">
        <v>64400000</v>
      </c>
      <c r="L63" s="229">
        <v>0</v>
      </c>
      <c r="M63" s="229">
        <v>200000</v>
      </c>
      <c r="N63" s="229">
        <v>61684470</v>
      </c>
      <c r="O63" s="229" t="s">
        <v>2183</v>
      </c>
      <c r="P63" s="229" t="s">
        <v>497</v>
      </c>
    </row>
    <row r="64" spans="1:16">
      <c r="A64" s="229">
        <v>62</v>
      </c>
      <c r="B64">
        <v>2</v>
      </c>
      <c r="C64" s="185" t="s">
        <v>1019</v>
      </c>
      <c r="D64" s="371"/>
      <c r="E64" s="371"/>
      <c r="F64" s="229" t="s">
        <v>3201</v>
      </c>
      <c r="G64" s="235" t="s">
        <v>2185</v>
      </c>
      <c r="H64" s="229" t="s">
        <v>2186</v>
      </c>
      <c r="I64" s="229" t="s">
        <v>2186</v>
      </c>
      <c r="J64" s="229">
        <v>1</v>
      </c>
      <c r="K64" s="229">
        <v>2262500000</v>
      </c>
      <c r="L64" s="229">
        <v>2262500000</v>
      </c>
      <c r="M64" s="229">
        <v>1217609625</v>
      </c>
      <c r="N64" s="229">
        <v>1925477043.2</v>
      </c>
      <c r="O64" s="229" t="s">
        <v>2187</v>
      </c>
      <c r="P64" s="229" t="s">
        <v>73</v>
      </c>
    </row>
    <row r="65" spans="1:16">
      <c r="A65" s="229">
        <v>63</v>
      </c>
      <c r="B65">
        <v>112</v>
      </c>
      <c r="C65" s="185" t="s">
        <v>1666</v>
      </c>
      <c r="D65" s="371"/>
      <c r="E65" s="371"/>
      <c r="F65" s="229" t="s">
        <v>3202</v>
      </c>
      <c r="G65" s="235" t="s">
        <v>2188</v>
      </c>
      <c r="H65" s="229" t="s">
        <v>2189</v>
      </c>
      <c r="I65" s="229" t="s">
        <v>2189</v>
      </c>
      <c r="J65" s="229">
        <v>2</v>
      </c>
      <c r="K65" s="229">
        <v>261791724</v>
      </c>
      <c r="L65" s="229">
        <v>260000000</v>
      </c>
      <c r="M65" s="229">
        <v>111116394</v>
      </c>
      <c r="N65" s="229">
        <v>240360513</v>
      </c>
      <c r="O65" s="229" t="s">
        <v>1743</v>
      </c>
      <c r="P65" s="229" t="s">
        <v>73</v>
      </c>
    </row>
    <row r="66" spans="1:16">
      <c r="A66" s="229">
        <v>64</v>
      </c>
      <c r="B66">
        <v>58</v>
      </c>
      <c r="C66" s="185" t="s">
        <v>1605</v>
      </c>
      <c r="D66" s="371"/>
      <c r="E66" s="371" t="s">
        <v>298</v>
      </c>
      <c r="F66" s="229" t="s">
        <v>3203</v>
      </c>
      <c r="G66" s="235" t="s">
        <v>2190</v>
      </c>
      <c r="H66" s="229" t="s">
        <v>2191</v>
      </c>
      <c r="I66" s="229" t="s">
        <v>2191</v>
      </c>
      <c r="J66" s="229">
        <v>0</v>
      </c>
      <c r="K66" s="229">
        <v>79800000</v>
      </c>
      <c r="L66" s="229">
        <v>0</v>
      </c>
      <c r="M66" s="229">
        <v>15193977</v>
      </c>
      <c r="N66" s="229">
        <v>66876502.329999998</v>
      </c>
      <c r="O66" s="229" t="s">
        <v>2192</v>
      </c>
      <c r="P66" s="229" t="s">
        <v>73</v>
      </c>
    </row>
    <row r="67" spans="1:16">
      <c r="A67" s="229">
        <v>65</v>
      </c>
      <c r="B67">
        <v>102</v>
      </c>
      <c r="C67" s="185" t="s">
        <v>2250</v>
      </c>
      <c r="D67" s="371"/>
      <c r="E67" s="371"/>
      <c r="F67" s="229" t="s">
        <v>3204</v>
      </c>
      <c r="G67" s="229" t="s">
        <v>3204</v>
      </c>
      <c r="H67" s="229" t="s">
        <v>2193</v>
      </c>
      <c r="I67" s="229" t="s">
        <v>2193</v>
      </c>
      <c r="J67" s="229">
        <v>0</v>
      </c>
      <c r="K67" s="229">
        <v>20230911</v>
      </c>
      <c r="L67" s="229">
        <v>0</v>
      </c>
      <c r="M67" s="229">
        <v>0</v>
      </c>
      <c r="N67" s="229">
        <v>519793577.89999998</v>
      </c>
      <c r="O67" s="229" t="s">
        <v>2194</v>
      </c>
      <c r="P67" s="229" t="s">
        <v>73</v>
      </c>
    </row>
    <row r="68" spans="1:16">
      <c r="A68" s="229">
        <v>66</v>
      </c>
      <c r="B68">
        <v>101</v>
      </c>
      <c r="C68" s="185" t="s">
        <v>1403</v>
      </c>
      <c r="D68" s="371" t="s">
        <v>3234</v>
      </c>
      <c r="E68" s="371" t="s">
        <v>1248</v>
      </c>
      <c r="F68" s="229" t="s">
        <v>3205</v>
      </c>
      <c r="G68" s="229" t="s">
        <v>3205</v>
      </c>
      <c r="H68" s="229" t="s">
        <v>2193</v>
      </c>
      <c r="I68" s="229" t="s">
        <v>2193</v>
      </c>
      <c r="J68" s="229">
        <v>0</v>
      </c>
      <c r="K68" s="229">
        <v>408200000</v>
      </c>
      <c r="L68" s="229">
        <v>0</v>
      </c>
      <c r="M68" s="229">
        <v>0</v>
      </c>
      <c r="N68" s="229">
        <v>421966031.89999998</v>
      </c>
      <c r="O68" s="229" t="s">
        <v>2194</v>
      </c>
      <c r="P68" s="229" t="s">
        <v>73</v>
      </c>
    </row>
    <row r="69" spans="1:16">
      <c r="A69" s="229">
        <v>67</v>
      </c>
      <c r="B69">
        <v>78</v>
      </c>
      <c r="C69" s="185" t="s">
        <v>527</v>
      </c>
      <c r="D69" s="371"/>
      <c r="E69" s="371" t="s">
        <v>298</v>
      </c>
      <c r="F69" s="229" t="s">
        <v>3206</v>
      </c>
      <c r="G69" s="235" t="s">
        <v>2195</v>
      </c>
      <c r="H69" s="229" t="s">
        <v>2055</v>
      </c>
      <c r="I69" s="229" t="s">
        <v>2055</v>
      </c>
      <c r="J69" s="229">
        <v>2</v>
      </c>
      <c r="K69" s="229">
        <v>24559000</v>
      </c>
      <c r="L69" s="229">
        <v>12291331</v>
      </c>
      <c r="M69" s="229">
        <v>6874900</v>
      </c>
      <c r="N69" s="229">
        <v>6315060.79</v>
      </c>
      <c r="O69" s="229" t="s">
        <v>1800</v>
      </c>
      <c r="P69" s="229" t="s">
        <v>48</v>
      </c>
    </row>
    <row r="70" spans="1:16">
      <c r="A70" s="229">
        <v>68</v>
      </c>
      <c r="B70">
        <v>114</v>
      </c>
      <c r="C70" s="185" t="s">
        <v>2234</v>
      </c>
      <c r="D70" s="371"/>
      <c r="E70" s="371"/>
      <c r="F70" s="229" t="s">
        <v>3207</v>
      </c>
      <c r="G70" s="235" t="s">
        <v>988</v>
      </c>
      <c r="H70" s="229" t="s">
        <v>2196</v>
      </c>
      <c r="I70" s="229" t="s">
        <v>2196</v>
      </c>
      <c r="J70" s="229">
        <v>2</v>
      </c>
      <c r="K70" s="229">
        <v>237497805</v>
      </c>
      <c r="L70" s="229">
        <v>355400000</v>
      </c>
      <c r="M70" s="229">
        <v>5960920</v>
      </c>
      <c r="N70" s="229">
        <v>355079486</v>
      </c>
      <c r="O70" s="229" t="s">
        <v>2197</v>
      </c>
      <c r="P70" s="229" t="s">
        <v>48</v>
      </c>
    </row>
    <row r="71" spans="1:16">
      <c r="A71" s="229">
        <v>69</v>
      </c>
      <c r="B71">
        <v>61</v>
      </c>
      <c r="C71" s="185" t="s">
        <v>1680</v>
      </c>
      <c r="D71" s="371"/>
      <c r="E71" s="371"/>
      <c r="F71" s="229" t="s">
        <v>3208</v>
      </c>
      <c r="G71" s="235" t="s">
        <v>2198</v>
      </c>
      <c r="H71" s="229" t="s">
        <v>2199</v>
      </c>
      <c r="I71" s="229" t="s">
        <v>2199</v>
      </c>
      <c r="J71" s="229">
        <v>4</v>
      </c>
      <c r="K71" s="229">
        <v>539000000</v>
      </c>
      <c r="L71" s="229">
        <v>564982682</v>
      </c>
      <c r="M71" s="229">
        <v>303545710</v>
      </c>
      <c r="N71" s="229">
        <v>584470432</v>
      </c>
      <c r="O71" s="229" t="s">
        <v>2200</v>
      </c>
      <c r="P71" s="229" t="s">
        <v>48</v>
      </c>
    </row>
    <row r="72" spans="1:16">
      <c r="A72" s="229">
        <v>70</v>
      </c>
      <c r="B72">
        <v>61</v>
      </c>
      <c r="C72" s="185" t="s">
        <v>1680</v>
      </c>
      <c r="D72" s="371"/>
      <c r="E72" s="371"/>
      <c r="F72" s="229" t="s">
        <v>3209</v>
      </c>
      <c r="G72" s="235" t="s">
        <v>2201</v>
      </c>
      <c r="H72" s="229" t="s">
        <v>2202</v>
      </c>
      <c r="I72" s="229" t="s">
        <v>2202</v>
      </c>
      <c r="J72" s="229">
        <v>3</v>
      </c>
      <c r="K72" s="229">
        <v>433591526</v>
      </c>
      <c r="L72" s="229">
        <v>443389563</v>
      </c>
      <c r="M72" s="229">
        <v>188688439</v>
      </c>
      <c r="N72" s="229">
        <v>458670113</v>
      </c>
      <c r="O72" s="229" t="s">
        <v>2200</v>
      </c>
      <c r="P72" s="229" t="s">
        <v>48</v>
      </c>
    </row>
    <row r="73" spans="1:16">
      <c r="A73" s="229">
        <v>71</v>
      </c>
      <c r="B73">
        <v>93</v>
      </c>
      <c r="C73" s="185" t="s">
        <v>143</v>
      </c>
      <c r="D73" s="371"/>
      <c r="E73" s="371"/>
      <c r="F73" s="229" t="s">
        <v>3210</v>
      </c>
      <c r="G73" s="235" t="s">
        <v>2203</v>
      </c>
      <c r="H73" s="229" t="s">
        <v>2204</v>
      </c>
      <c r="I73" s="229" t="s">
        <v>2204</v>
      </c>
      <c r="J73" s="229">
        <v>1</v>
      </c>
      <c r="K73" s="229">
        <v>45599586</v>
      </c>
      <c r="L73" s="229">
        <v>274700000</v>
      </c>
      <c r="M73" s="229">
        <v>11000000</v>
      </c>
      <c r="N73" s="229">
        <v>263659630</v>
      </c>
      <c r="O73" s="229" t="s">
        <v>2205</v>
      </c>
      <c r="P73" s="229" t="s">
        <v>48</v>
      </c>
    </row>
    <row r="74" spans="1:16">
      <c r="A74" s="229">
        <v>72</v>
      </c>
      <c r="B74">
        <v>77</v>
      </c>
      <c r="C74" s="185" t="s">
        <v>1683</v>
      </c>
      <c r="D74" s="371"/>
      <c r="E74" s="371"/>
      <c r="F74" s="229" t="s">
        <v>2206</v>
      </c>
      <c r="G74" s="235" t="s">
        <v>2206</v>
      </c>
      <c r="H74" s="229" t="s">
        <v>2207</v>
      </c>
      <c r="I74" s="229" t="s">
        <v>2207</v>
      </c>
      <c r="J74" s="229">
        <v>2</v>
      </c>
      <c r="K74" s="229">
        <v>80300000</v>
      </c>
      <c r="L74" s="229">
        <v>86200000</v>
      </c>
      <c r="M74" s="229">
        <v>20320000</v>
      </c>
      <c r="N74" s="229">
        <v>90649656</v>
      </c>
      <c r="O74" s="229" t="s">
        <v>2208</v>
      </c>
      <c r="P74" s="229" t="s">
        <v>48</v>
      </c>
    </row>
    <row r="75" spans="1:16">
      <c r="A75" s="229">
        <v>73</v>
      </c>
      <c r="B75">
        <v>100</v>
      </c>
      <c r="C75" s="185" t="s">
        <v>160</v>
      </c>
      <c r="D75" s="371"/>
      <c r="E75" s="371" t="s">
        <v>298</v>
      </c>
      <c r="F75" s="229" t="s">
        <v>2209</v>
      </c>
      <c r="G75" s="235" t="s">
        <v>2209</v>
      </c>
      <c r="H75" s="229" t="s">
        <v>1867</v>
      </c>
      <c r="I75" s="229" t="s">
        <v>1867</v>
      </c>
      <c r="J75" s="229">
        <v>0</v>
      </c>
      <c r="K75" s="229">
        <v>33200000</v>
      </c>
      <c r="L75" s="229">
        <v>0</v>
      </c>
      <c r="M75" s="229">
        <v>15630428</v>
      </c>
      <c r="N75" s="229">
        <v>21959066.010000002</v>
      </c>
      <c r="O75" s="229" t="s">
        <v>2210</v>
      </c>
      <c r="P75" s="229" t="s">
        <v>48</v>
      </c>
    </row>
    <row r="76" spans="1:16">
      <c r="A76" s="229">
        <v>74</v>
      </c>
      <c r="B76">
        <v>45</v>
      </c>
      <c r="C76" s="185" t="s">
        <v>1663</v>
      </c>
      <c r="D76" s="371"/>
      <c r="E76" s="371"/>
      <c r="F76" s="229"/>
      <c r="G76" s="235" t="s">
        <v>2211</v>
      </c>
      <c r="H76" s="229" t="s">
        <v>2212</v>
      </c>
      <c r="I76" s="229" t="s">
        <v>2212</v>
      </c>
      <c r="J76" s="229">
        <v>1</v>
      </c>
      <c r="K76" s="229">
        <v>163648947</v>
      </c>
      <c r="L76" s="229">
        <v>139100000</v>
      </c>
      <c r="M76" s="229">
        <v>11722739</v>
      </c>
      <c r="N76" s="229">
        <v>146682808.65000001</v>
      </c>
      <c r="O76" s="229" t="s">
        <v>2213</v>
      </c>
      <c r="P76" s="229" t="s">
        <v>48</v>
      </c>
    </row>
    <row r="77" spans="1:16">
      <c r="A77" s="229">
        <v>75</v>
      </c>
      <c r="B77">
        <v>13</v>
      </c>
      <c r="C77" s="185" t="s">
        <v>1447</v>
      </c>
      <c r="D77" s="371"/>
      <c r="E77" s="371"/>
      <c r="F77" s="229" t="s">
        <v>3211</v>
      </c>
      <c r="G77" s="229" t="s">
        <v>3211</v>
      </c>
      <c r="H77" s="229" t="s">
        <v>2176</v>
      </c>
      <c r="I77" s="229" t="s">
        <v>2176</v>
      </c>
      <c r="J77" s="229">
        <v>1</v>
      </c>
      <c r="K77" s="229">
        <v>20230927</v>
      </c>
      <c r="L77" s="229">
        <v>0</v>
      </c>
      <c r="M77" s="229">
        <v>12500000</v>
      </c>
      <c r="N77" s="229">
        <v>176606142.81999999</v>
      </c>
      <c r="O77" s="229" t="s">
        <v>2177</v>
      </c>
      <c r="P77" s="229" t="s">
        <v>48</v>
      </c>
    </row>
    <row r="78" spans="1:16">
      <c r="A78" s="229">
        <v>76</v>
      </c>
      <c r="B78">
        <v>38</v>
      </c>
      <c r="C78" s="185" t="s">
        <v>1217</v>
      </c>
      <c r="D78" s="371"/>
      <c r="E78" s="371"/>
      <c r="F78" s="229" t="s">
        <v>3212</v>
      </c>
      <c r="G78" s="229" t="s">
        <v>3212</v>
      </c>
      <c r="H78" s="229" t="s">
        <v>2214</v>
      </c>
      <c r="I78" s="229"/>
      <c r="J78" s="229">
        <v>0</v>
      </c>
      <c r="K78" s="229">
        <v>569700000</v>
      </c>
      <c r="L78" s="229">
        <v>0</v>
      </c>
      <c r="M78" s="229">
        <v>5947090</v>
      </c>
      <c r="N78" s="229">
        <v>621334397</v>
      </c>
      <c r="O78" s="229" t="s">
        <v>2215</v>
      </c>
      <c r="P78" s="229" t="s">
        <v>48</v>
      </c>
    </row>
    <row r="79" spans="1:16">
      <c r="A79" s="229">
        <v>77</v>
      </c>
      <c r="B79">
        <v>62</v>
      </c>
      <c r="C79" s="185" t="s">
        <v>1597</v>
      </c>
      <c r="D79" s="371"/>
      <c r="E79" s="371" t="s">
        <v>298</v>
      </c>
      <c r="F79" t="s">
        <v>3222</v>
      </c>
      <c r="G79" s="229" t="s">
        <v>3213</v>
      </c>
      <c r="H79" s="229" t="s">
        <v>2216</v>
      </c>
      <c r="I79" s="373">
        <v>46140</v>
      </c>
      <c r="J79" s="229">
        <v>0</v>
      </c>
      <c r="K79" s="229">
        <v>173100000</v>
      </c>
      <c r="L79" s="229">
        <v>0</v>
      </c>
      <c r="M79" s="229">
        <v>24098188</v>
      </c>
      <c r="N79" s="229">
        <v>197658646.83000001</v>
      </c>
      <c r="O79" s="229" t="s">
        <v>2217</v>
      </c>
      <c r="P79" s="229" t="s">
        <v>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C2:N229"/>
  <sheetViews>
    <sheetView topLeftCell="A133" workbookViewId="0">
      <selection activeCell="C115" sqref="C115:D154"/>
    </sheetView>
  </sheetViews>
  <sheetFormatPr defaultRowHeight="15"/>
  <cols>
    <col min="3" max="3" width="4" bestFit="1" customWidth="1"/>
    <col min="4" max="4" width="42.7109375" bestFit="1" customWidth="1"/>
    <col min="6" max="6" width="3" bestFit="1" customWidth="1"/>
    <col min="7" max="7" width="36" bestFit="1" customWidth="1"/>
    <col min="14" max="14" width="60.5703125" bestFit="1" customWidth="1"/>
  </cols>
  <sheetData>
    <row r="2" spans="3:14">
      <c r="C2" s="185">
        <v>1</v>
      </c>
      <c r="D2" s="185" t="s">
        <v>1647</v>
      </c>
      <c r="F2" s="233">
        <v>1</v>
      </c>
      <c r="G2" t="s">
        <v>2674</v>
      </c>
      <c r="I2">
        <f t="shared" ref="I2:I33" si="0">INDEX(C:C, MATCH(G2,D:D, 0))</f>
        <v>114</v>
      </c>
      <c r="K2">
        <v>47</v>
      </c>
      <c r="M2" s="229">
        <v>1</v>
      </c>
      <c r="N2" s="229" t="s">
        <v>2260</v>
      </c>
    </row>
    <row r="3" spans="3:14">
      <c r="C3" s="185">
        <v>2</v>
      </c>
      <c r="D3" s="185" t="s">
        <v>1019</v>
      </c>
      <c r="F3" s="233">
        <v>2</v>
      </c>
      <c r="G3" t="s">
        <v>2674</v>
      </c>
      <c r="I3">
        <f t="shared" si="0"/>
        <v>114</v>
      </c>
      <c r="K3">
        <v>53</v>
      </c>
      <c r="M3" s="229">
        <v>2</v>
      </c>
      <c r="N3" s="229" t="s">
        <v>2261</v>
      </c>
    </row>
    <row r="4" spans="3:14">
      <c r="C4" s="185">
        <v>3</v>
      </c>
      <c r="D4" s="185" t="s">
        <v>1648</v>
      </c>
      <c r="F4" s="233">
        <v>3</v>
      </c>
      <c r="G4" t="s">
        <v>2675</v>
      </c>
      <c r="I4">
        <f t="shared" si="0"/>
        <v>115</v>
      </c>
      <c r="K4">
        <v>53</v>
      </c>
      <c r="M4" s="229">
        <v>3</v>
      </c>
      <c r="N4" s="229" t="s">
        <v>2263</v>
      </c>
    </row>
    <row r="5" spans="3:14">
      <c r="C5" s="185">
        <v>4</v>
      </c>
      <c r="D5" s="185" t="s">
        <v>1649</v>
      </c>
      <c r="F5" s="233">
        <v>4</v>
      </c>
      <c r="G5" t="s">
        <v>299</v>
      </c>
      <c r="I5">
        <f t="shared" si="0"/>
        <v>116</v>
      </c>
      <c r="K5">
        <v>53</v>
      </c>
      <c r="M5" s="229">
        <v>4</v>
      </c>
      <c r="N5" s="229" t="s">
        <v>2264</v>
      </c>
    </row>
    <row r="6" spans="3:14">
      <c r="C6" s="185">
        <v>5</v>
      </c>
      <c r="D6" s="185" t="s">
        <v>1650</v>
      </c>
      <c r="F6" s="233">
        <v>5</v>
      </c>
      <c r="G6" t="s">
        <v>18</v>
      </c>
      <c r="I6">
        <f t="shared" si="0"/>
        <v>82</v>
      </c>
      <c r="K6">
        <v>69</v>
      </c>
      <c r="M6" s="229">
        <v>5</v>
      </c>
      <c r="N6" s="229" t="s">
        <v>2265</v>
      </c>
    </row>
    <row r="7" spans="3:14">
      <c r="C7" s="185">
        <v>6</v>
      </c>
      <c r="D7" s="185" t="s">
        <v>1651</v>
      </c>
      <c r="F7" s="233">
        <v>6</v>
      </c>
      <c r="G7" t="s">
        <v>455</v>
      </c>
      <c r="I7">
        <f t="shared" si="0"/>
        <v>105</v>
      </c>
      <c r="K7">
        <v>89</v>
      </c>
      <c r="M7" s="229">
        <v>6</v>
      </c>
      <c r="N7" s="229" t="s">
        <v>2267</v>
      </c>
    </row>
    <row r="8" spans="3:14">
      <c r="C8" s="185">
        <v>7</v>
      </c>
      <c r="D8" s="185" t="s">
        <v>1652</v>
      </c>
      <c r="F8" s="233">
        <v>7</v>
      </c>
      <c r="G8" t="s">
        <v>455</v>
      </c>
      <c r="I8">
        <f t="shared" si="0"/>
        <v>105</v>
      </c>
      <c r="K8">
        <v>88</v>
      </c>
      <c r="M8" s="229">
        <v>7</v>
      </c>
      <c r="N8" s="229" t="s">
        <v>2269</v>
      </c>
    </row>
    <row r="9" spans="3:14">
      <c r="C9" s="185">
        <v>8</v>
      </c>
      <c r="D9" s="185" t="s">
        <v>1653</v>
      </c>
      <c r="F9" s="233">
        <v>8</v>
      </c>
      <c r="G9" t="s">
        <v>1750</v>
      </c>
      <c r="I9">
        <f t="shared" si="0"/>
        <v>117</v>
      </c>
      <c r="K9">
        <v>85</v>
      </c>
      <c r="M9" s="229">
        <v>8</v>
      </c>
      <c r="N9" s="229" t="s">
        <v>2271</v>
      </c>
    </row>
    <row r="10" spans="3:14">
      <c r="C10" s="185">
        <v>9</v>
      </c>
      <c r="D10" s="185" t="s">
        <v>1654</v>
      </c>
      <c r="F10" s="233">
        <v>9</v>
      </c>
      <c r="G10" t="s">
        <v>2676</v>
      </c>
      <c r="I10">
        <f t="shared" si="0"/>
        <v>118</v>
      </c>
      <c r="K10">
        <v>39</v>
      </c>
      <c r="M10" s="229">
        <v>9</v>
      </c>
      <c r="N10" s="229" t="s">
        <v>2272</v>
      </c>
    </row>
    <row r="11" spans="3:14">
      <c r="C11" s="185">
        <v>10</v>
      </c>
      <c r="D11" s="185" t="s">
        <v>1655</v>
      </c>
      <c r="F11" s="233">
        <v>10</v>
      </c>
      <c r="G11" t="s">
        <v>367</v>
      </c>
      <c r="I11">
        <f t="shared" si="0"/>
        <v>119</v>
      </c>
      <c r="K11">
        <v>32</v>
      </c>
      <c r="M11" s="229">
        <v>10</v>
      </c>
      <c r="N11" s="229" t="s">
        <v>2273</v>
      </c>
    </row>
    <row r="12" spans="3:14">
      <c r="C12" s="185">
        <v>11</v>
      </c>
      <c r="D12" s="185" t="s">
        <v>1392</v>
      </c>
      <c r="F12" s="233">
        <v>11</v>
      </c>
      <c r="G12" t="s">
        <v>367</v>
      </c>
      <c r="I12">
        <f t="shared" si="0"/>
        <v>119</v>
      </c>
      <c r="K12">
        <v>68</v>
      </c>
      <c r="M12" s="229">
        <v>11</v>
      </c>
      <c r="N12" s="229" t="s">
        <v>2275</v>
      </c>
    </row>
    <row r="13" spans="3:14">
      <c r="C13" s="185">
        <v>12</v>
      </c>
      <c r="D13" s="185" t="s">
        <v>1439</v>
      </c>
      <c r="F13" s="233">
        <v>12</v>
      </c>
      <c r="G13" t="s">
        <v>412</v>
      </c>
      <c r="I13">
        <f t="shared" si="0"/>
        <v>120</v>
      </c>
      <c r="K13">
        <v>29</v>
      </c>
      <c r="M13" s="229">
        <v>12</v>
      </c>
      <c r="N13" s="229" t="s">
        <v>2277</v>
      </c>
    </row>
    <row r="14" spans="3:14">
      <c r="C14" s="185">
        <v>13</v>
      </c>
      <c r="D14" s="185" t="s">
        <v>1447</v>
      </c>
      <c r="F14" s="233">
        <v>13</v>
      </c>
      <c r="G14" t="s">
        <v>412</v>
      </c>
      <c r="I14">
        <f t="shared" si="0"/>
        <v>120</v>
      </c>
      <c r="K14">
        <v>39</v>
      </c>
      <c r="M14" s="229">
        <v>13</v>
      </c>
      <c r="N14" s="229" t="s">
        <v>2279</v>
      </c>
    </row>
    <row r="15" spans="3:14">
      <c r="C15" s="185">
        <v>14</v>
      </c>
      <c r="D15" s="185" t="s">
        <v>2240</v>
      </c>
      <c r="F15" s="233">
        <v>14</v>
      </c>
      <c r="G15" t="s">
        <v>412</v>
      </c>
      <c r="I15">
        <f t="shared" si="0"/>
        <v>120</v>
      </c>
      <c r="K15">
        <v>98</v>
      </c>
      <c r="M15" s="229">
        <v>14</v>
      </c>
      <c r="N15" s="229" t="s">
        <v>2280</v>
      </c>
    </row>
    <row r="16" spans="3:14">
      <c r="C16" s="185">
        <v>15</v>
      </c>
      <c r="D16" s="185" t="s">
        <v>1389</v>
      </c>
      <c r="F16" s="233">
        <v>15</v>
      </c>
      <c r="G16" t="s">
        <v>412</v>
      </c>
      <c r="I16">
        <f t="shared" si="0"/>
        <v>120</v>
      </c>
      <c r="K16">
        <v>29</v>
      </c>
      <c r="M16" s="229">
        <v>15</v>
      </c>
      <c r="N16" s="229" t="s">
        <v>2282</v>
      </c>
    </row>
    <row r="17" spans="3:14">
      <c r="C17" s="185">
        <v>16</v>
      </c>
      <c r="D17" s="185" t="s">
        <v>1446</v>
      </c>
      <c r="F17" s="233">
        <v>16</v>
      </c>
      <c r="G17" t="s">
        <v>412</v>
      </c>
      <c r="I17">
        <f t="shared" si="0"/>
        <v>120</v>
      </c>
      <c r="K17">
        <v>31</v>
      </c>
      <c r="M17" s="229">
        <v>16</v>
      </c>
      <c r="N17" s="229" t="s">
        <v>2283</v>
      </c>
    </row>
    <row r="18" spans="3:14">
      <c r="C18" s="185">
        <v>17</v>
      </c>
      <c r="D18" s="185" t="s">
        <v>1395</v>
      </c>
      <c r="F18" s="233">
        <v>17</v>
      </c>
      <c r="G18" t="s">
        <v>412</v>
      </c>
      <c r="I18">
        <f t="shared" si="0"/>
        <v>120</v>
      </c>
      <c r="K18">
        <v>103</v>
      </c>
      <c r="M18" s="229">
        <v>17</v>
      </c>
      <c r="N18" s="229" t="s">
        <v>2284</v>
      </c>
    </row>
    <row r="19" spans="3:14">
      <c r="C19" s="185">
        <v>18</v>
      </c>
      <c r="D19" s="185" t="s">
        <v>1391</v>
      </c>
      <c r="F19" s="233">
        <v>18</v>
      </c>
      <c r="G19" t="s">
        <v>2495</v>
      </c>
      <c r="I19">
        <f t="shared" si="0"/>
        <v>121</v>
      </c>
      <c r="K19">
        <v>103</v>
      </c>
      <c r="M19" s="229">
        <v>18</v>
      </c>
      <c r="N19" s="229" t="s">
        <v>2285</v>
      </c>
    </row>
    <row r="20" spans="3:14">
      <c r="C20" s="185">
        <v>19</v>
      </c>
      <c r="D20" s="185" t="s">
        <v>1449</v>
      </c>
      <c r="F20" s="233">
        <v>19</v>
      </c>
      <c r="G20" t="s">
        <v>461</v>
      </c>
      <c r="I20">
        <f t="shared" si="0"/>
        <v>122</v>
      </c>
      <c r="K20">
        <v>74</v>
      </c>
      <c r="M20" s="229">
        <v>19</v>
      </c>
      <c r="N20" s="229" t="s">
        <v>2286</v>
      </c>
    </row>
    <row r="21" spans="3:14">
      <c r="C21" s="185">
        <v>20</v>
      </c>
      <c r="D21" s="185" t="s">
        <v>132</v>
      </c>
      <c r="F21" s="233">
        <v>20</v>
      </c>
      <c r="G21" t="s">
        <v>461</v>
      </c>
      <c r="I21">
        <f t="shared" si="0"/>
        <v>122</v>
      </c>
      <c r="K21">
        <v>107</v>
      </c>
      <c r="M21" s="229">
        <v>20</v>
      </c>
      <c r="N21" s="229" t="s">
        <v>2287</v>
      </c>
    </row>
    <row r="22" spans="3:14">
      <c r="C22" s="185">
        <v>21</v>
      </c>
      <c r="D22" s="185" t="s">
        <v>2241</v>
      </c>
      <c r="F22" s="233">
        <v>21</v>
      </c>
      <c r="G22" t="s">
        <v>461</v>
      </c>
      <c r="I22">
        <f t="shared" si="0"/>
        <v>122</v>
      </c>
      <c r="K22">
        <v>94</v>
      </c>
      <c r="M22" s="229">
        <v>21</v>
      </c>
      <c r="N22" s="229" t="s">
        <v>2288</v>
      </c>
    </row>
    <row r="23" spans="3:14">
      <c r="C23" s="185">
        <v>22</v>
      </c>
      <c r="D23" s="185" t="s">
        <v>126</v>
      </c>
      <c r="F23" s="233">
        <v>22</v>
      </c>
      <c r="G23" t="s">
        <v>328</v>
      </c>
      <c r="I23">
        <f t="shared" si="0"/>
        <v>123</v>
      </c>
      <c r="K23">
        <v>40</v>
      </c>
      <c r="M23" s="229">
        <v>22</v>
      </c>
      <c r="N23" s="229" t="s">
        <v>2289</v>
      </c>
    </row>
    <row r="24" spans="3:14">
      <c r="C24" s="185">
        <v>23</v>
      </c>
      <c r="D24" s="185" t="s">
        <v>1622</v>
      </c>
      <c r="F24" s="233">
        <v>23</v>
      </c>
      <c r="G24" t="s">
        <v>2657</v>
      </c>
      <c r="I24">
        <f t="shared" si="0"/>
        <v>124</v>
      </c>
      <c r="K24">
        <v>22</v>
      </c>
      <c r="M24" s="229">
        <v>23</v>
      </c>
      <c r="N24" s="229" t="s">
        <v>2290</v>
      </c>
    </row>
    <row r="25" spans="3:14">
      <c r="C25" s="185">
        <v>24</v>
      </c>
      <c r="D25" s="185" t="s">
        <v>2242</v>
      </c>
      <c r="F25" s="233">
        <v>24</v>
      </c>
      <c r="G25" t="s">
        <v>2657</v>
      </c>
      <c r="I25">
        <f t="shared" si="0"/>
        <v>124</v>
      </c>
      <c r="K25">
        <v>20</v>
      </c>
      <c r="M25" s="229">
        <v>24</v>
      </c>
      <c r="N25" s="229" t="s">
        <v>2291</v>
      </c>
    </row>
    <row r="26" spans="3:14">
      <c r="C26" s="185">
        <v>25</v>
      </c>
      <c r="D26" s="185" t="s">
        <v>2243</v>
      </c>
      <c r="F26" s="233">
        <v>25</v>
      </c>
      <c r="G26" t="s">
        <v>2657</v>
      </c>
      <c r="I26">
        <f t="shared" si="0"/>
        <v>124</v>
      </c>
      <c r="K26">
        <v>20</v>
      </c>
      <c r="M26" s="229">
        <v>25</v>
      </c>
      <c r="N26" s="229" t="s">
        <v>2293</v>
      </c>
    </row>
    <row r="27" spans="3:14">
      <c r="C27" s="185">
        <v>26</v>
      </c>
      <c r="D27" s="185" t="s">
        <v>2244</v>
      </c>
      <c r="F27" s="233">
        <v>26</v>
      </c>
      <c r="G27" t="s">
        <v>1826</v>
      </c>
      <c r="I27">
        <f t="shared" si="0"/>
        <v>70</v>
      </c>
      <c r="K27">
        <v>23</v>
      </c>
      <c r="M27" s="229">
        <v>26</v>
      </c>
      <c r="N27" s="229" t="s">
        <v>2295</v>
      </c>
    </row>
    <row r="28" spans="3:14">
      <c r="C28" s="185">
        <v>27</v>
      </c>
      <c r="D28" s="185" t="s">
        <v>2245</v>
      </c>
      <c r="F28" s="233">
        <v>27</v>
      </c>
      <c r="G28" t="s">
        <v>1849</v>
      </c>
      <c r="I28">
        <f t="shared" si="0"/>
        <v>125</v>
      </c>
      <c r="K28">
        <v>22</v>
      </c>
      <c r="M28" s="229">
        <v>27</v>
      </c>
      <c r="N28" s="229" t="s">
        <v>2296</v>
      </c>
    </row>
    <row r="29" spans="3:14">
      <c r="C29" s="185">
        <v>28</v>
      </c>
      <c r="D29" s="185" t="s">
        <v>1679</v>
      </c>
      <c r="F29" s="233">
        <v>28</v>
      </c>
      <c r="G29" t="s">
        <v>2678</v>
      </c>
      <c r="I29">
        <f t="shared" si="0"/>
        <v>126</v>
      </c>
      <c r="K29">
        <v>107</v>
      </c>
      <c r="M29" s="229">
        <v>28</v>
      </c>
      <c r="N29" s="229" t="s">
        <v>2297</v>
      </c>
    </row>
    <row r="30" spans="3:14">
      <c r="C30" s="185">
        <v>29</v>
      </c>
      <c r="D30" s="185" t="s">
        <v>2246</v>
      </c>
      <c r="F30" s="233">
        <v>29</v>
      </c>
      <c r="G30" t="s">
        <v>1877</v>
      </c>
      <c r="I30">
        <f t="shared" si="0"/>
        <v>127</v>
      </c>
      <c r="K30">
        <v>33</v>
      </c>
      <c r="M30" s="229">
        <v>29</v>
      </c>
      <c r="N30" s="229" t="s">
        <v>2298</v>
      </c>
    </row>
    <row r="31" spans="3:14">
      <c r="C31" s="185">
        <v>30</v>
      </c>
      <c r="D31" s="185" t="s">
        <v>2247</v>
      </c>
      <c r="F31" s="233">
        <v>30</v>
      </c>
      <c r="G31" t="s">
        <v>1877</v>
      </c>
      <c r="I31">
        <f t="shared" si="0"/>
        <v>127</v>
      </c>
      <c r="K31">
        <v>33</v>
      </c>
      <c r="M31" s="229">
        <v>30</v>
      </c>
      <c r="N31" s="229" t="s">
        <v>2299</v>
      </c>
    </row>
    <row r="32" spans="3:14">
      <c r="C32" s="185">
        <v>31</v>
      </c>
      <c r="D32" s="185" t="s">
        <v>1626</v>
      </c>
      <c r="F32" s="233">
        <v>31</v>
      </c>
      <c r="G32" t="s">
        <v>1877</v>
      </c>
      <c r="I32">
        <f t="shared" si="0"/>
        <v>127</v>
      </c>
      <c r="K32">
        <v>108</v>
      </c>
      <c r="M32" s="229">
        <v>31</v>
      </c>
      <c r="N32" s="229" t="s">
        <v>2301</v>
      </c>
    </row>
    <row r="33" spans="3:14">
      <c r="C33" s="185">
        <v>32</v>
      </c>
      <c r="D33" s="185" t="s">
        <v>1641</v>
      </c>
      <c r="F33" s="233">
        <v>32</v>
      </c>
      <c r="G33" t="s">
        <v>1877</v>
      </c>
      <c r="I33">
        <f t="shared" si="0"/>
        <v>127</v>
      </c>
      <c r="K33">
        <v>109</v>
      </c>
      <c r="M33" s="229">
        <v>32</v>
      </c>
      <c r="N33" s="229" t="s">
        <v>2302</v>
      </c>
    </row>
    <row r="34" spans="3:14">
      <c r="C34" s="185">
        <v>33</v>
      </c>
      <c r="D34" s="185" t="s">
        <v>1452</v>
      </c>
      <c r="F34" s="233">
        <v>33</v>
      </c>
      <c r="G34" t="s">
        <v>440</v>
      </c>
      <c r="I34">
        <f t="shared" ref="I34:I65" si="1">INDEX(C:C, MATCH(G34,D:D, 0))</f>
        <v>128</v>
      </c>
      <c r="K34">
        <v>110</v>
      </c>
      <c r="M34" s="229">
        <v>33</v>
      </c>
      <c r="N34" s="229" t="s">
        <v>2303</v>
      </c>
    </row>
    <row r="35" spans="3:14">
      <c r="C35" s="185">
        <v>34</v>
      </c>
      <c r="D35" s="185" t="s">
        <v>1628</v>
      </c>
      <c r="F35" s="233">
        <v>34</v>
      </c>
      <c r="G35" t="s">
        <v>2679</v>
      </c>
      <c r="I35">
        <f t="shared" si="1"/>
        <v>129</v>
      </c>
      <c r="K35">
        <v>23</v>
      </c>
      <c r="M35" s="229">
        <v>34</v>
      </c>
      <c r="N35" s="229" t="s">
        <v>2305</v>
      </c>
    </row>
    <row r="36" spans="3:14">
      <c r="C36" s="185">
        <v>35</v>
      </c>
      <c r="D36" s="185" t="s">
        <v>2248</v>
      </c>
      <c r="F36" s="233">
        <v>35</v>
      </c>
      <c r="G36" t="s">
        <v>1975</v>
      </c>
      <c r="I36">
        <f t="shared" si="1"/>
        <v>131</v>
      </c>
      <c r="K36">
        <v>55</v>
      </c>
      <c r="M36" s="229">
        <v>35</v>
      </c>
      <c r="N36" s="229" t="s">
        <v>2306</v>
      </c>
    </row>
    <row r="37" spans="3:14">
      <c r="C37" s="185">
        <v>36</v>
      </c>
      <c r="D37" t="s">
        <v>2670</v>
      </c>
      <c r="F37" s="233">
        <v>36</v>
      </c>
      <c r="G37" t="s">
        <v>2677</v>
      </c>
      <c r="I37">
        <f t="shared" si="1"/>
        <v>130</v>
      </c>
      <c r="K37">
        <v>99</v>
      </c>
      <c r="M37" s="229">
        <v>36</v>
      </c>
      <c r="N37" s="229" t="s">
        <v>2307</v>
      </c>
    </row>
    <row r="38" spans="3:14">
      <c r="C38" s="185">
        <v>37</v>
      </c>
      <c r="D38" s="185" t="s">
        <v>2249</v>
      </c>
      <c r="F38" s="233">
        <v>37</v>
      </c>
      <c r="G38" t="s">
        <v>2677</v>
      </c>
      <c r="I38">
        <f t="shared" si="1"/>
        <v>130</v>
      </c>
      <c r="K38">
        <v>44</v>
      </c>
      <c r="M38" s="229">
        <v>37</v>
      </c>
      <c r="N38" s="229" t="s">
        <v>2308</v>
      </c>
    </row>
    <row r="39" spans="3:14">
      <c r="C39" s="185">
        <v>38</v>
      </c>
      <c r="D39" s="185" t="s">
        <v>1217</v>
      </c>
      <c r="F39" s="233">
        <v>38</v>
      </c>
      <c r="G39" t="s">
        <v>2677</v>
      </c>
      <c r="I39">
        <f t="shared" si="1"/>
        <v>130</v>
      </c>
      <c r="K39">
        <v>78</v>
      </c>
      <c r="M39" s="229">
        <v>38</v>
      </c>
      <c r="N39" s="229" t="s">
        <v>2309</v>
      </c>
    </row>
    <row r="40" spans="3:14">
      <c r="C40" s="185">
        <v>39</v>
      </c>
      <c r="D40" s="185" t="s">
        <v>1682</v>
      </c>
      <c r="F40" s="233">
        <v>39</v>
      </c>
      <c r="G40" t="s">
        <v>2677</v>
      </c>
      <c r="I40">
        <f t="shared" si="1"/>
        <v>130</v>
      </c>
      <c r="K40">
        <v>78</v>
      </c>
      <c r="M40" s="229">
        <v>39</v>
      </c>
      <c r="N40" s="229" t="s">
        <v>2310</v>
      </c>
    </row>
    <row r="41" spans="3:14">
      <c r="C41" s="185">
        <v>40</v>
      </c>
      <c r="D41" s="185" t="s">
        <v>970</v>
      </c>
      <c r="F41" s="233">
        <v>40</v>
      </c>
      <c r="G41" t="s">
        <v>2677</v>
      </c>
      <c r="I41">
        <f t="shared" si="1"/>
        <v>130</v>
      </c>
      <c r="K41">
        <v>100</v>
      </c>
      <c r="M41" s="229">
        <v>40</v>
      </c>
      <c r="N41" s="229" t="s">
        <v>2312</v>
      </c>
    </row>
    <row r="42" spans="3:14">
      <c r="C42" s="185">
        <v>41</v>
      </c>
      <c r="D42" s="185" t="s">
        <v>1590</v>
      </c>
      <c r="F42" s="233">
        <v>41</v>
      </c>
      <c r="G42" t="s">
        <v>2677</v>
      </c>
      <c r="I42">
        <f t="shared" si="1"/>
        <v>130</v>
      </c>
      <c r="K42">
        <v>99</v>
      </c>
      <c r="M42" s="229">
        <v>41</v>
      </c>
      <c r="N42" s="229" t="s">
        <v>2313</v>
      </c>
    </row>
    <row r="43" spans="3:14">
      <c r="C43" s="185">
        <v>42</v>
      </c>
      <c r="D43" s="185" t="s">
        <v>1677</v>
      </c>
      <c r="F43" s="233">
        <v>42</v>
      </c>
      <c r="G43" t="s">
        <v>389</v>
      </c>
      <c r="I43">
        <f t="shared" si="1"/>
        <v>132</v>
      </c>
      <c r="K43">
        <v>22</v>
      </c>
      <c r="M43" s="229">
        <v>42</v>
      </c>
      <c r="N43" s="229" t="s">
        <v>2314</v>
      </c>
    </row>
    <row r="44" spans="3:14">
      <c r="C44" s="185">
        <v>43</v>
      </c>
      <c r="D44" s="185" t="s">
        <v>1583</v>
      </c>
      <c r="F44" s="233">
        <v>43</v>
      </c>
      <c r="G44" t="s">
        <v>2659</v>
      </c>
      <c r="I44">
        <f t="shared" si="1"/>
        <v>133</v>
      </c>
      <c r="K44">
        <v>59</v>
      </c>
      <c r="M44" s="229">
        <v>43</v>
      </c>
      <c r="N44" s="229" t="s">
        <v>2315</v>
      </c>
    </row>
    <row r="45" spans="3:14">
      <c r="C45" s="185">
        <v>44</v>
      </c>
      <c r="D45" s="185" t="s">
        <v>1664</v>
      </c>
      <c r="F45" s="233">
        <v>44</v>
      </c>
      <c r="G45" t="s">
        <v>395</v>
      </c>
      <c r="I45">
        <f t="shared" si="1"/>
        <v>134</v>
      </c>
      <c r="K45">
        <v>20</v>
      </c>
      <c r="M45" s="229">
        <v>44</v>
      </c>
      <c r="N45" s="229" t="s">
        <v>2317</v>
      </c>
    </row>
    <row r="46" spans="3:14">
      <c r="C46" s="185">
        <v>45</v>
      </c>
      <c r="D46" s="185" t="s">
        <v>1663</v>
      </c>
      <c r="F46" s="233">
        <v>45</v>
      </c>
      <c r="G46" t="s">
        <v>352</v>
      </c>
      <c r="I46">
        <f t="shared" si="1"/>
        <v>138</v>
      </c>
      <c r="K46">
        <v>23</v>
      </c>
      <c r="M46" s="229">
        <v>45</v>
      </c>
      <c r="N46" s="229" t="s">
        <v>2318</v>
      </c>
    </row>
    <row r="47" spans="3:14">
      <c r="C47" s="185">
        <v>46</v>
      </c>
      <c r="D47" s="185" t="s">
        <v>1678</v>
      </c>
      <c r="F47" s="233">
        <v>46</v>
      </c>
      <c r="G47" t="s">
        <v>397</v>
      </c>
      <c r="I47">
        <f t="shared" si="1"/>
        <v>139</v>
      </c>
      <c r="K47">
        <v>49</v>
      </c>
      <c r="M47" s="229">
        <v>46</v>
      </c>
      <c r="N47" s="229" t="s">
        <v>2319</v>
      </c>
    </row>
    <row r="48" spans="3:14">
      <c r="C48" s="185">
        <v>47</v>
      </c>
      <c r="D48" s="185" t="s">
        <v>973</v>
      </c>
      <c r="F48" s="233">
        <v>47</v>
      </c>
      <c r="G48" t="s">
        <v>397</v>
      </c>
      <c r="I48">
        <f t="shared" si="1"/>
        <v>139</v>
      </c>
      <c r="K48">
        <v>87</v>
      </c>
      <c r="M48" s="229">
        <v>47</v>
      </c>
      <c r="N48" s="229" t="s">
        <v>2320</v>
      </c>
    </row>
    <row r="49" spans="3:14">
      <c r="C49" s="185">
        <v>48</v>
      </c>
      <c r="D49" s="185" t="s">
        <v>1417</v>
      </c>
      <c r="F49" s="233">
        <v>48</v>
      </c>
      <c r="G49" t="s">
        <v>358</v>
      </c>
      <c r="I49">
        <f t="shared" si="1"/>
        <v>140</v>
      </c>
      <c r="K49">
        <v>100</v>
      </c>
      <c r="M49" s="229">
        <v>48</v>
      </c>
      <c r="N49" s="229" t="s">
        <v>2322</v>
      </c>
    </row>
    <row r="50" spans="3:14">
      <c r="C50" s="185">
        <v>49</v>
      </c>
      <c r="D50" s="185" t="s">
        <v>1153</v>
      </c>
      <c r="F50" s="233">
        <v>49</v>
      </c>
      <c r="G50" t="s">
        <v>402</v>
      </c>
      <c r="I50">
        <f t="shared" si="1"/>
        <v>141</v>
      </c>
      <c r="K50">
        <v>111</v>
      </c>
      <c r="M50" s="229">
        <v>49</v>
      </c>
      <c r="N50" s="229" t="s">
        <v>2324</v>
      </c>
    </row>
    <row r="51" spans="3:14">
      <c r="C51" s="185">
        <v>50</v>
      </c>
      <c r="D51" s="185" t="s">
        <v>1585</v>
      </c>
      <c r="F51" s="233">
        <v>50</v>
      </c>
      <c r="G51" t="s">
        <v>442</v>
      </c>
      <c r="I51">
        <f t="shared" si="1"/>
        <v>142</v>
      </c>
      <c r="K51">
        <v>11</v>
      </c>
      <c r="M51" s="229">
        <v>50</v>
      </c>
      <c r="N51" s="229" t="s">
        <v>2326</v>
      </c>
    </row>
    <row r="52" spans="3:14">
      <c r="C52" s="185">
        <v>51</v>
      </c>
      <c r="D52" s="185" t="s">
        <v>1584</v>
      </c>
      <c r="F52" s="233">
        <v>51</v>
      </c>
      <c r="G52" t="s">
        <v>442</v>
      </c>
      <c r="I52">
        <f t="shared" si="1"/>
        <v>142</v>
      </c>
      <c r="K52">
        <v>12</v>
      </c>
      <c r="M52" s="229">
        <v>51</v>
      </c>
      <c r="N52" s="229" t="s">
        <v>2328</v>
      </c>
    </row>
    <row r="53" spans="3:14">
      <c r="C53" s="185">
        <v>52</v>
      </c>
      <c r="D53" s="185" t="s">
        <v>1586</v>
      </c>
      <c r="F53" s="233">
        <v>52</v>
      </c>
      <c r="G53" t="s">
        <v>442</v>
      </c>
      <c r="I53">
        <f t="shared" si="1"/>
        <v>142</v>
      </c>
      <c r="K53">
        <v>14</v>
      </c>
      <c r="M53" s="229">
        <v>52</v>
      </c>
      <c r="N53" s="229" t="s">
        <v>2330</v>
      </c>
    </row>
    <row r="54" spans="3:14">
      <c r="C54" s="185">
        <v>53</v>
      </c>
      <c r="D54" s="185" t="s">
        <v>623</v>
      </c>
      <c r="F54" s="233">
        <v>53</v>
      </c>
      <c r="G54" t="s">
        <v>442</v>
      </c>
      <c r="I54">
        <f t="shared" si="1"/>
        <v>142</v>
      </c>
      <c r="K54">
        <v>15</v>
      </c>
      <c r="M54" s="229">
        <v>53</v>
      </c>
      <c r="N54" s="229" t="s">
        <v>2332</v>
      </c>
    </row>
    <row r="55" spans="3:14">
      <c r="C55" s="185">
        <v>54</v>
      </c>
      <c r="D55" s="185" t="s">
        <v>1582</v>
      </c>
      <c r="F55" s="233">
        <v>54</v>
      </c>
      <c r="G55" t="s">
        <v>2660</v>
      </c>
      <c r="I55">
        <f t="shared" si="1"/>
        <v>143</v>
      </c>
      <c r="K55">
        <v>16</v>
      </c>
      <c r="M55" s="229">
        <v>54</v>
      </c>
      <c r="N55" s="229" t="s">
        <v>2334</v>
      </c>
    </row>
    <row r="56" spans="3:14">
      <c r="C56" s="185">
        <v>55</v>
      </c>
      <c r="D56" s="185" t="s">
        <v>1602</v>
      </c>
      <c r="F56" s="233">
        <v>55</v>
      </c>
      <c r="G56" t="s">
        <v>2660</v>
      </c>
      <c r="I56">
        <f t="shared" si="1"/>
        <v>143</v>
      </c>
      <c r="K56">
        <v>17</v>
      </c>
      <c r="M56" s="229">
        <v>55</v>
      </c>
      <c r="N56" s="229" t="s">
        <v>2336</v>
      </c>
    </row>
    <row r="57" spans="3:14">
      <c r="C57" s="185">
        <v>56</v>
      </c>
      <c r="D57" s="185" t="s">
        <v>977</v>
      </c>
      <c r="F57" s="233">
        <v>56</v>
      </c>
      <c r="G57" t="s">
        <v>2660</v>
      </c>
      <c r="I57">
        <f t="shared" si="1"/>
        <v>143</v>
      </c>
      <c r="K57">
        <v>18</v>
      </c>
      <c r="M57" s="229">
        <v>56</v>
      </c>
      <c r="N57" s="229" t="s">
        <v>2338</v>
      </c>
    </row>
    <row r="58" spans="3:14">
      <c r="C58" s="185">
        <v>57</v>
      </c>
      <c r="D58" s="185" t="s">
        <v>23</v>
      </c>
      <c r="F58" s="233">
        <v>57</v>
      </c>
      <c r="G58" t="s">
        <v>26</v>
      </c>
      <c r="I58">
        <f t="shared" si="1"/>
        <v>90</v>
      </c>
      <c r="K58">
        <v>19</v>
      </c>
      <c r="M58" s="229">
        <v>57</v>
      </c>
      <c r="N58" s="229" t="s">
        <v>2340</v>
      </c>
    </row>
    <row r="59" spans="3:14">
      <c r="C59" s="185">
        <v>58</v>
      </c>
      <c r="D59" s="185" t="s">
        <v>1605</v>
      </c>
      <c r="F59" s="233">
        <v>58</v>
      </c>
      <c r="G59" t="s">
        <v>472</v>
      </c>
      <c r="I59">
        <f t="shared" si="1"/>
        <v>144</v>
      </c>
      <c r="K59">
        <v>101</v>
      </c>
      <c r="M59" s="229">
        <v>58</v>
      </c>
      <c r="N59" s="229" t="s">
        <v>2342</v>
      </c>
    </row>
    <row r="60" spans="3:14">
      <c r="C60" s="185">
        <v>59</v>
      </c>
      <c r="D60" s="185" t="s">
        <v>1443</v>
      </c>
      <c r="F60" s="233">
        <v>59</v>
      </c>
      <c r="G60" t="s">
        <v>472</v>
      </c>
      <c r="I60">
        <f t="shared" si="1"/>
        <v>144</v>
      </c>
      <c r="K60">
        <v>113</v>
      </c>
      <c r="M60" s="229">
        <v>59</v>
      </c>
      <c r="N60" s="229" t="s">
        <v>2344</v>
      </c>
    </row>
    <row r="61" spans="3:14">
      <c r="C61" s="185">
        <v>60</v>
      </c>
      <c r="D61" s="185" t="s">
        <v>75</v>
      </c>
      <c r="F61" s="233">
        <v>60</v>
      </c>
      <c r="G61" t="s">
        <v>477</v>
      </c>
      <c r="I61">
        <f t="shared" si="1"/>
        <v>145</v>
      </c>
      <c r="K61">
        <v>113</v>
      </c>
      <c r="M61" s="229">
        <v>60</v>
      </c>
      <c r="N61" s="229" t="s">
        <v>2346</v>
      </c>
    </row>
    <row r="62" spans="3:14">
      <c r="C62" s="185">
        <v>61</v>
      </c>
      <c r="D62" s="185" t="s">
        <v>1680</v>
      </c>
      <c r="F62" s="233">
        <v>61</v>
      </c>
      <c r="G62" t="s">
        <v>477</v>
      </c>
      <c r="I62">
        <f t="shared" si="1"/>
        <v>145</v>
      </c>
      <c r="K62">
        <v>101</v>
      </c>
      <c r="M62" s="229">
        <v>61</v>
      </c>
      <c r="N62" s="229" t="s">
        <v>2347</v>
      </c>
    </row>
    <row r="63" spans="3:14">
      <c r="C63" s="185">
        <v>62</v>
      </c>
      <c r="D63" s="185" t="s">
        <v>1597</v>
      </c>
      <c r="F63" s="233">
        <v>62</v>
      </c>
      <c r="G63" s="185" t="s">
        <v>1425</v>
      </c>
      <c r="I63">
        <f t="shared" si="1"/>
        <v>63</v>
      </c>
      <c r="K63">
        <v>2</v>
      </c>
      <c r="M63" s="229">
        <v>62</v>
      </c>
      <c r="N63" s="229" t="s">
        <v>2348</v>
      </c>
    </row>
    <row r="64" spans="3:14">
      <c r="C64" s="185">
        <v>63</v>
      </c>
      <c r="D64" s="185" t="s">
        <v>1425</v>
      </c>
      <c r="F64" s="233">
        <v>63</v>
      </c>
      <c r="G64" s="185" t="s">
        <v>1688</v>
      </c>
      <c r="I64">
        <f t="shared" si="1"/>
        <v>88</v>
      </c>
      <c r="K64">
        <v>112</v>
      </c>
      <c r="M64" s="229">
        <v>63</v>
      </c>
      <c r="N64" s="229" t="s">
        <v>2349</v>
      </c>
    </row>
    <row r="65" spans="3:14">
      <c r="C65" s="185">
        <v>64</v>
      </c>
      <c r="D65" s="185" t="s">
        <v>1588</v>
      </c>
      <c r="F65" s="233">
        <v>64</v>
      </c>
      <c r="G65" t="s">
        <v>1691</v>
      </c>
      <c r="I65">
        <f t="shared" si="1"/>
        <v>98</v>
      </c>
      <c r="K65">
        <v>58</v>
      </c>
      <c r="M65" s="229">
        <v>64</v>
      </c>
      <c r="N65" s="229" t="s">
        <v>2350</v>
      </c>
    </row>
    <row r="66" spans="3:14">
      <c r="C66" s="185">
        <v>65</v>
      </c>
      <c r="D66" s="185" t="s">
        <v>1381</v>
      </c>
      <c r="F66" s="233">
        <v>65</v>
      </c>
      <c r="G66" t="s">
        <v>1691</v>
      </c>
      <c r="I66">
        <f t="shared" ref="I66:I78" si="2">INDEX(C:C, MATCH(G66,D:D, 0))</f>
        <v>98</v>
      </c>
      <c r="K66">
        <v>102</v>
      </c>
      <c r="M66" s="229">
        <v>65</v>
      </c>
      <c r="N66" s="229" t="s">
        <v>2351</v>
      </c>
    </row>
    <row r="67" spans="3:14">
      <c r="C67" s="185">
        <v>66</v>
      </c>
      <c r="D67" s="185" t="s">
        <v>1589</v>
      </c>
      <c r="F67" s="233">
        <v>66</v>
      </c>
      <c r="G67" t="s">
        <v>1582</v>
      </c>
      <c r="I67">
        <f t="shared" si="2"/>
        <v>54</v>
      </c>
      <c r="K67">
        <v>101</v>
      </c>
      <c r="M67" s="229">
        <v>66</v>
      </c>
      <c r="N67" s="229" t="s">
        <v>2352</v>
      </c>
    </row>
    <row r="68" spans="3:14">
      <c r="C68" s="185">
        <v>67</v>
      </c>
      <c r="D68" s="185" t="s">
        <v>1638</v>
      </c>
      <c r="F68" s="233">
        <v>67</v>
      </c>
      <c r="G68" t="s">
        <v>1691</v>
      </c>
      <c r="I68">
        <f t="shared" si="2"/>
        <v>98</v>
      </c>
      <c r="K68">
        <v>78</v>
      </c>
      <c r="M68" s="229">
        <v>67</v>
      </c>
      <c r="N68" s="229" t="s">
        <v>2353</v>
      </c>
    </row>
    <row r="69" spans="3:14">
      <c r="C69" s="185">
        <v>68</v>
      </c>
      <c r="D69" s="185" t="s">
        <v>1681</v>
      </c>
      <c r="F69" s="233">
        <v>68</v>
      </c>
      <c r="G69" t="s">
        <v>1582</v>
      </c>
      <c r="I69">
        <f t="shared" si="2"/>
        <v>54</v>
      </c>
      <c r="K69">
        <v>114</v>
      </c>
      <c r="M69" s="229">
        <v>68</v>
      </c>
      <c r="N69" s="229" t="s">
        <v>2354</v>
      </c>
    </row>
    <row r="70" spans="3:14">
      <c r="C70" s="185">
        <v>69</v>
      </c>
      <c r="D70" s="185" t="s">
        <v>1085</v>
      </c>
      <c r="F70" s="233">
        <v>69</v>
      </c>
      <c r="G70" s="185" t="s">
        <v>1427</v>
      </c>
      <c r="I70">
        <f t="shared" si="2"/>
        <v>73</v>
      </c>
      <c r="K70">
        <v>61</v>
      </c>
      <c r="M70" s="229">
        <v>69</v>
      </c>
      <c r="N70" s="229" t="s">
        <v>2356</v>
      </c>
    </row>
    <row r="71" spans="3:14">
      <c r="C71" s="185">
        <v>70</v>
      </c>
      <c r="D71" s="185" t="s">
        <v>1826</v>
      </c>
      <c r="F71" s="233">
        <v>70</v>
      </c>
      <c r="G71" s="185" t="s">
        <v>1691</v>
      </c>
      <c r="I71">
        <f t="shared" si="2"/>
        <v>98</v>
      </c>
      <c r="K71">
        <v>61</v>
      </c>
      <c r="M71" s="229">
        <v>70</v>
      </c>
      <c r="N71" s="229" t="s">
        <v>2357</v>
      </c>
    </row>
    <row r="72" spans="3:14">
      <c r="C72" s="185">
        <v>71</v>
      </c>
      <c r="D72" s="185" t="s">
        <v>15</v>
      </c>
      <c r="F72" s="233">
        <v>71</v>
      </c>
      <c r="G72" t="s">
        <v>1436</v>
      </c>
      <c r="I72">
        <f t="shared" si="2"/>
        <v>86</v>
      </c>
      <c r="K72">
        <v>93</v>
      </c>
      <c r="M72" s="229">
        <v>71</v>
      </c>
      <c r="N72" s="229" t="s">
        <v>2359</v>
      </c>
    </row>
    <row r="73" spans="3:14">
      <c r="C73" s="185">
        <v>72</v>
      </c>
      <c r="D73" s="185" t="s">
        <v>11</v>
      </c>
      <c r="F73" s="233">
        <v>72</v>
      </c>
      <c r="G73" t="s">
        <v>659</v>
      </c>
      <c r="I73">
        <f t="shared" si="2"/>
        <v>146</v>
      </c>
      <c r="K73">
        <v>77</v>
      </c>
      <c r="M73" s="229">
        <v>72</v>
      </c>
      <c r="N73" s="229" t="s">
        <v>2361</v>
      </c>
    </row>
    <row r="74" spans="3:14">
      <c r="C74" s="185">
        <v>73</v>
      </c>
      <c r="D74" s="185" t="s">
        <v>1427</v>
      </c>
      <c r="F74" s="233">
        <v>73</v>
      </c>
      <c r="G74" t="s">
        <v>1436</v>
      </c>
      <c r="I74">
        <f t="shared" si="2"/>
        <v>86</v>
      </c>
      <c r="K74">
        <v>100</v>
      </c>
      <c r="M74" s="229">
        <v>73</v>
      </c>
      <c r="N74" s="229" t="s">
        <v>2362</v>
      </c>
    </row>
    <row r="75" spans="3:14">
      <c r="C75" s="185">
        <v>74</v>
      </c>
      <c r="D75" s="185" t="s">
        <v>980</v>
      </c>
      <c r="F75" s="233">
        <v>74</v>
      </c>
      <c r="G75" s="185" t="s">
        <v>1427</v>
      </c>
      <c r="I75">
        <f t="shared" si="2"/>
        <v>73</v>
      </c>
      <c r="K75">
        <v>45</v>
      </c>
      <c r="M75" s="229">
        <v>74</v>
      </c>
      <c r="N75" s="229" t="s">
        <v>2364</v>
      </c>
    </row>
    <row r="76" spans="3:14">
      <c r="C76" s="185">
        <v>75</v>
      </c>
      <c r="D76" s="185" t="s">
        <v>1429</v>
      </c>
      <c r="F76" s="233">
        <v>75</v>
      </c>
      <c r="G76" s="185" t="s">
        <v>1691</v>
      </c>
      <c r="I76">
        <f t="shared" si="2"/>
        <v>98</v>
      </c>
      <c r="K76">
        <v>13</v>
      </c>
      <c r="M76" s="229">
        <v>75</v>
      </c>
      <c r="N76" s="229" t="s">
        <v>2366</v>
      </c>
    </row>
    <row r="77" spans="3:14">
      <c r="C77" s="185">
        <v>76</v>
      </c>
      <c r="D77" s="185" t="s">
        <v>1428</v>
      </c>
      <c r="F77" s="233">
        <v>76</v>
      </c>
      <c r="G77" s="185" t="s">
        <v>1427</v>
      </c>
      <c r="I77">
        <f t="shared" si="2"/>
        <v>73</v>
      </c>
      <c r="K77">
        <v>38</v>
      </c>
      <c r="M77" s="229">
        <v>76</v>
      </c>
      <c r="N77" s="229" t="s">
        <v>2368</v>
      </c>
    </row>
    <row r="78" spans="3:14">
      <c r="C78" s="185">
        <v>77</v>
      </c>
      <c r="D78" s="185" t="s">
        <v>1683</v>
      </c>
      <c r="F78" s="233">
        <v>77</v>
      </c>
      <c r="G78" t="s">
        <v>1436</v>
      </c>
      <c r="I78">
        <f t="shared" si="2"/>
        <v>86</v>
      </c>
      <c r="K78">
        <v>62</v>
      </c>
      <c r="M78" s="229">
        <v>77</v>
      </c>
      <c r="N78" s="229" t="s">
        <v>2370</v>
      </c>
    </row>
    <row r="79" spans="3:14">
      <c r="C79" s="185">
        <v>78</v>
      </c>
      <c r="D79" s="185" t="s">
        <v>527</v>
      </c>
      <c r="G79" t="s">
        <v>659</v>
      </c>
      <c r="I79">
        <f t="shared" ref="I79:I142" si="3">INDEX(C:C, MATCH(G79,D:D, 0))</f>
        <v>146</v>
      </c>
      <c r="M79" s="229">
        <v>78</v>
      </c>
      <c r="N79" s="229" t="s">
        <v>2372</v>
      </c>
    </row>
    <row r="80" spans="3:14">
      <c r="C80" s="185">
        <v>79</v>
      </c>
      <c r="D80" s="185" t="s">
        <v>1592</v>
      </c>
      <c r="G80" t="s">
        <v>2661</v>
      </c>
      <c r="I80">
        <f t="shared" si="3"/>
        <v>83</v>
      </c>
      <c r="M80" s="229">
        <v>79</v>
      </c>
      <c r="N80" s="229" t="s">
        <v>2374</v>
      </c>
    </row>
    <row r="81" spans="3:14">
      <c r="C81" s="185">
        <v>80</v>
      </c>
      <c r="D81" s="185" t="s">
        <v>1434</v>
      </c>
      <c r="G81" t="s">
        <v>1427</v>
      </c>
      <c r="I81">
        <f t="shared" si="3"/>
        <v>73</v>
      </c>
      <c r="M81" s="229">
        <v>80</v>
      </c>
      <c r="N81" s="229" t="s">
        <v>2376</v>
      </c>
    </row>
    <row r="82" spans="3:14">
      <c r="C82" s="185">
        <v>81</v>
      </c>
      <c r="D82" s="185" t="s">
        <v>34</v>
      </c>
      <c r="G82" t="s">
        <v>1427</v>
      </c>
      <c r="I82">
        <f t="shared" si="3"/>
        <v>73</v>
      </c>
      <c r="M82" s="229">
        <v>81</v>
      </c>
      <c r="N82" s="229" t="s">
        <v>2378</v>
      </c>
    </row>
    <row r="83" spans="3:14">
      <c r="C83" s="185">
        <v>82</v>
      </c>
      <c r="D83" s="185" t="s">
        <v>18</v>
      </c>
      <c r="G83" s="185" t="s">
        <v>1436</v>
      </c>
      <c r="I83">
        <f t="shared" si="3"/>
        <v>86</v>
      </c>
      <c r="M83" s="229">
        <v>82</v>
      </c>
      <c r="N83" s="229" t="s">
        <v>2380</v>
      </c>
    </row>
    <row r="84" spans="3:14">
      <c r="C84" s="185">
        <v>83</v>
      </c>
      <c r="D84" t="s">
        <v>2661</v>
      </c>
      <c r="G84" t="s">
        <v>1936</v>
      </c>
      <c r="I84">
        <f t="shared" si="3"/>
        <v>147</v>
      </c>
      <c r="M84" s="229">
        <v>83</v>
      </c>
      <c r="N84" s="229" t="s">
        <v>2382</v>
      </c>
    </row>
    <row r="85" spans="3:14">
      <c r="C85" s="185">
        <v>84</v>
      </c>
      <c r="D85" s="185" t="s">
        <v>1594</v>
      </c>
      <c r="G85" t="s">
        <v>1427</v>
      </c>
      <c r="I85">
        <f t="shared" si="3"/>
        <v>73</v>
      </c>
      <c r="M85" s="229">
        <v>84</v>
      </c>
      <c r="N85" s="229" t="s">
        <v>2384</v>
      </c>
    </row>
    <row r="86" spans="3:14">
      <c r="C86" s="185">
        <v>85</v>
      </c>
      <c r="D86" s="185" t="s">
        <v>2239</v>
      </c>
      <c r="G86" t="s">
        <v>659</v>
      </c>
      <c r="I86">
        <f t="shared" si="3"/>
        <v>146</v>
      </c>
      <c r="M86" s="229">
        <v>85</v>
      </c>
      <c r="N86" s="229" t="s">
        <v>2385</v>
      </c>
    </row>
    <row r="87" spans="3:14">
      <c r="C87" s="185">
        <v>86</v>
      </c>
      <c r="D87" s="185" t="s">
        <v>1436</v>
      </c>
      <c r="G87" t="s">
        <v>1436</v>
      </c>
      <c r="I87">
        <f t="shared" si="3"/>
        <v>86</v>
      </c>
      <c r="M87" s="229">
        <v>86</v>
      </c>
      <c r="N87" s="229" t="s">
        <v>2387</v>
      </c>
    </row>
    <row r="88" spans="3:14">
      <c r="C88" s="185">
        <v>87</v>
      </c>
      <c r="D88" s="185" t="s">
        <v>1687</v>
      </c>
      <c r="G88" t="s">
        <v>1436</v>
      </c>
      <c r="I88">
        <f t="shared" si="3"/>
        <v>86</v>
      </c>
      <c r="M88" s="229">
        <v>87</v>
      </c>
      <c r="N88" s="229" t="s">
        <v>2388</v>
      </c>
    </row>
    <row r="89" spans="3:14">
      <c r="C89" s="185">
        <v>88</v>
      </c>
      <c r="D89" s="185" t="s">
        <v>1688</v>
      </c>
      <c r="G89" t="s">
        <v>1585</v>
      </c>
      <c r="I89">
        <f t="shared" si="3"/>
        <v>50</v>
      </c>
      <c r="M89" s="229">
        <v>88</v>
      </c>
      <c r="N89" s="229" t="s">
        <v>2390</v>
      </c>
    </row>
    <row r="90" spans="3:14">
      <c r="C90" s="185">
        <v>89</v>
      </c>
      <c r="D90" s="185" t="s">
        <v>1066</v>
      </c>
      <c r="G90" t="s">
        <v>1584</v>
      </c>
      <c r="I90">
        <f t="shared" si="3"/>
        <v>51</v>
      </c>
      <c r="M90" s="229">
        <v>89</v>
      </c>
      <c r="N90" s="229" t="s">
        <v>2392</v>
      </c>
    </row>
    <row r="91" spans="3:14">
      <c r="C91" s="185">
        <v>90</v>
      </c>
      <c r="D91" s="185" t="s">
        <v>26</v>
      </c>
      <c r="G91" s="185" t="s">
        <v>1590</v>
      </c>
      <c r="I91">
        <f t="shared" si="3"/>
        <v>41</v>
      </c>
      <c r="M91" s="229">
        <v>90</v>
      </c>
      <c r="N91" s="229" t="s">
        <v>2394</v>
      </c>
    </row>
    <row r="92" spans="3:14">
      <c r="C92" s="185">
        <v>91</v>
      </c>
      <c r="D92" s="185" t="s">
        <v>144</v>
      </c>
      <c r="G92" t="s">
        <v>1010</v>
      </c>
      <c r="I92">
        <f t="shared" si="3"/>
        <v>107</v>
      </c>
      <c r="M92" s="229">
        <v>91</v>
      </c>
      <c r="N92" s="229" t="s">
        <v>2396</v>
      </c>
    </row>
    <row r="93" spans="3:14">
      <c r="C93" s="185">
        <v>92</v>
      </c>
      <c r="D93" s="185" t="s">
        <v>1598</v>
      </c>
      <c r="G93" t="s">
        <v>1436</v>
      </c>
      <c r="I93">
        <f t="shared" si="3"/>
        <v>86</v>
      </c>
      <c r="M93" s="229">
        <v>92</v>
      </c>
      <c r="N93" s="229" t="s">
        <v>2397</v>
      </c>
    </row>
    <row r="94" spans="3:14">
      <c r="C94" s="185">
        <v>93</v>
      </c>
      <c r="D94" s="185" t="s">
        <v>143</v>
      </c>
      <c r="G94" t="s">
        <v>1010</v>
      </c>
      <c r="I94">
        <f t="shared" si="3"/>
        <v>107</v>
      </c>
      <c r="M94" s="229">
        <v>93</v>
      </c>
      <c r="N94" s="229" t="s">
        <v>2399</v>
      </c>
    </row>
    <row r="95" spans="3:14">
      <c r="C95" s="185">
        <v>94</v>
      </c>
      <c r="D95" s="185" t="s">
        <v>1690</v>
      </c>
      <c r="G95" t="s">
        <v>1590</v>
      </c>
      <c r="I95">
        <f t="shared" si="3"/>
        <v>41</v>
      </c>
      <c r="M95" s="229">
        <v>94</v>
      </c>
      <c r="N95" s="229" t="s">
        <v>2400</v>
      </c>
    </row>
    <row r="96" spans="3:14">
      <c r="C96" s="185">
        <v>95</v>
      </c>
      <c r="D96" s="185" t="s">
        <v>2252</v>
      </c>
      <c r="G96" s="185" t="s">
        <v>1677</v>
      </c>
      <c r="I96">
        <f t="shared" si="3"/>
        <v>42</v>
      </c>
      <c r="M96" s="229">
        <v>95</v>
      </c>
      <c r="N96" s="229" t="s">
        <v>2401</v>
      </c>
    </row>
    <row r="97" spans="3:14">
      <c r="C97" s="185">
        <v>96</v>
      </c>
      <c r="D97" s="185" t="s">
        <v>29</v>
      </c>
      <c r="G97" t="s">
        <v>623</v>
      </c>
      <c r="I97">
        <f t="shared" si="3"/>
        <v>53</v>
      </c>
      <c r="M97" s="229">
        <v>96</v>
      </c>
      <c r="N97" s="229" t="s">
        <v>2403</v>
      </c>
    </row>
    <row r="98" spans="3:14">
      <c r="C98" s="185">
        <v>97</v>
      </c>
      <c r="D98" s="185" t="s">
        <v>987</v>
      </c>
      <c r="G98" t="s">
        <v>623</v>
      </c>
      <c r="I98">
        <f t="shared" si="3"/>
        <v>53</v>
      </c>
      <c r="M98" s="229">
        <v>97</v>
      </c>
      <c r="N98" s="229" t="s">
        <v>2405</v>
      </c>
    </row>
    <row r="99" spans="3:14">
      <c r="C99" s="185">
        <v>98</v>
      </c>
      <c r="D99" s="185" t="s">
        <v>1691</v>
      </c>
      <c r="G99" t="s">
        <v>2666</v>
      </c>
      <c r="I99">
        <f t="shared" si="3"/>
        <v>148</v>
      </c>
      <c r="M99" s="229">
        <v>98</v>
      </c>
      <c r="N99" s="229" t="s">
        <v>2406</v>
      </c>
    </row>
    <row r="100" spans="3:14">
      <c r="C100" s="185">
        <v>99</v>
      </c>
      <c r="D100" s="185" t="s">
        <v>159</v>
      </c>
      <c r="G100" t="s">
        <v>1427</v>
      </c>
      <c r="I100">
        <f t="shared" si="3"/>
        <v>73</v>
      </c>
      <c r="M100" s="229">
        <v>99</v>
      </c>
      <c r="N100" s="229" t="s">
        <v>2407</v>
      </c>
    </row>
    <row r="101" spans="3:14">
      <c r="C101" s="185">
        <v>100</v>
      </c>
      <c r="D101" s="185" t="s">
        <v>160</v>
      </c>
      <c r="G101" t="s">
        <v>1436</v>
      </c>
      <c r="I101">
        <f t="shared" si="3"/>
        <v>86</v>
      </c>
      <c r="M101" s="229">
        <v>100</v>
      </c>
      <c r="N101" s="229" t="s">
        <v>2408</v>
      </c>
    </row>
    <row r="102" spans="3:14">
      <c r="C102" s="185">
        <v>101</v>
      </c>
      <c r="D102" s="185" t="s">
        <v>1403</v>
      </c>
      <c r="G102" t="s">
        <v>2661</v>
      </c>
      <c r="I102">
        <f t="shared" si="3"/>
        <v>83</v>
      </c>
      <c r="M102" s="229">
        <v>101</v>
      </c>
      <c r="N102" s="229" t="s">
        <v>2409</v>
      </c>
    </row>
    <row r="103" spans="3:14">
      <c r="C103" s="185">
        <v>102</v>
      </c>
      <c r="D103" s="185" t="s">
        <v>2250</v>
      </c>
      <c r="G103" t="s">
        <v>2666</v>
      </c>
      <c r="I103">
        <f t="shared" si="3"/>
        <v>148</v>
      </c>
      <c r="M103" s="229">
        <v>102</v>
      </c>
      <c r="N103" s="229" t="s">
        <v>2411</v>
      </c>
    </row>
    <row r="104" spans="3:14">
      <c r="C104" s="185">
        <v>103</v>
      </c>
      <c r="D104" s="185" t="s">
        <v>1689</v>
      </c>
      <c r="G104" t="s">
        <v>1590</v>
      </c>
      <c r="I104">
        <f t="shared" si="3"/>
        <v>41</v>
      </c>
      <c r="M104" s="229">
        <v>103</v>
      </c>
      <c r="N104" s="229" t="s">
        <v>2412</v>
      </c>
    </row>
    <row r="105" spans="3:14">
      <c r="C105" s="185">
        <v>104</v>
      </c>
      <c r="D105" s="185" t="s">
        <v>1692</v>
      </c>
      <c r="G105" t="s">
        <v>1427</v>
      </c>
      <c r="I105">
        <f t="shared" si="3"/>
        <v>73</v>
      </c>
      <c r="M105" s="229">
        <v>104</v>
      </c>
      <c r="N105" s="229" t="s">
        <v>2413</v>
      </c>
    </row>
    <row r="106" spans="3:14">
      <c r="C106" s="185">
        <v>105</v>
      </c>
      <c r="D106" s="185" t="s">
        <v>455</v>
      </c>
      <c r="G106" t="s">
        <v>1427</v>
      </c>
      <c r="I106">
        <f t="shared" si="3"/>
        <v>73</v>
      </c>
      <c r="M106" s="229">
        <v>105</v>
      </c>
      <c r="N106" s="229" t="s">
        <v>2414</v>
      </c>
    </row>
    <row r="107" spans="3:14">
      <c r="C107" s="185">
        <v>106</v>
      </c>
      <c r="D107" s="185" t="s">
        <v>973</v>
      </c>
      <c r="G107" s="185" t="s">
        <v>1690</v>
      </c>
      <c r="I107">
        <f t="shared" si="3"/>
        <v>94</v>
      </c>
      <c r="M107" s="229">
        <v>106</v>
      </c>
      <c r="N107" s="229" t="s">
        <v>2415</v>
      </c>
    </row>
    <row r="108" spans="3:14">
      <c r="C108" s="185">
        <v>107</v>
      </c>
      <c r="D108" s="185" t="s">
        <v>1010</v>
      </c>
      <c r="G108" t="s">
        <v>458</v>
      </c>
      <c r="I108">
        <f t="shared" si="3"/>
        <v>149</v>
      </c>
      <c r="M108" s="229">
        <v>107</v>
      </c>
      <c r="N108" s="229" t="s">
        <v>2416</v>
      </c>
    </row>
    <row r="109" spans="3:14">
      <c r="C109" s="185">
        <v>108</v>
      </c>
      <c r="D109" s="185" t="s">
        <v>2251</v>
      </c>
      <c r="G109" t="s">
        <v>2677</v>
      </c>
      <c r="I109">
        <f t="shared" si="3"/>
        <v>130</v>
      </c>
      <c r="M109" s="229">
        <v>108</v>
      </c>
      <c r="N109" s="229" t="s">
        <v>2417</v>
      </c>
    </row>
    <row r="110" spans="3:14">
      <c r="C110" s="185">
        <v>109</v>
      </c>
      <c r="D110" s="185" t="s">
        <v>1599</v>
      </c>
      <c r="G110" s="185" t="s">
        <v>29</v>
      </c>
      <c r="I110">
        <f t="shared" si="3"/>
        <v>96</v>
      </c>
      <c r="M110" s="229">
        <v>109</v>
      </c>
      <c r="N110" s="229" t="s">
        <v>2418</v>
      </c>
    </row>
    <row r="111" spans="3:14">
      <c r="C111" s="185">
        <v>110</v>
      </c>
      <c r="D111" s="185" t="s">
        <v>2252</v>
      </c>
      <c r="G111" t="s">
        <v>2064</v>
      </c>
      <c r="I111">
        <f t="shared" si="3"/>
        <v>150</v>
      </c>
      <c r="M111" s="229">
        <v>110</v>
      </c>
      <c r="N111" s="229" t="s">
        <v>2419</v>
      </c>
    </row>
    <row r="112" spans="3:14">
      <c r="C112" s="185">
        <v>111</v>
      </c>
      <c r="D112" s="185" t="s">
        <v>1665</v>
      </c>
      <c r="G112" t="s">
        <v>1582</v>
      </c>
      <c r="I112">
        <f t="shared" si="3"/>
        <v>54</v>
      </c>
      <c r="M112" s="229">
        <v>111</v>
      </c>
      <c r="N112" s="229" t="s">
        <v>2421</v>
      </c>
    </row>
    <row r="113" spans="3:14">
      <c r="C113" s="185">
        <v>112</v>
      </c>
      <c r="D113" s="185" t="s">
        <v>1666</v>
      </c>
      <c r="G113" s="185" t="s">
        <v>1628</v>
      </c>
      <c r="I113">
        <f t="shared" si="3"/>
        <v>34</v>
      </c>
      <c r="M113" s="229">
        <v>112</v>
      </c>
      <c r="N113" s="229" t="s">
        <v>2422</v>
      </c>
    </row>
    <row r="114" spans="3:14">
      <c r="C114" s="185">
        <v>113</v>
      </c>
      <c r="D114" s="185" t="s">
        <v>2234</v>
      </c>
      <c r="G114" t="s">
        <v>1622</v>
      </c>
      <c r="I114">
        <f t="shared" si="3"/>
        <v>23</v>
      </c>
      <c r="M114" s="229">
        <v>113</v>
      </c>
      <c r="N114" s="229" t="s">
        <v>2424</v>
      </c>
    </row>
    <row r="115" spans="3:14">
      <c r="C115" s="185">
        <v>114</v>
      </c>
      <c r="D115" t="s">
        <v>2674</v>
      </c>
      <c r="G115" t="s">
        <v>126</v>
      </c>
      <c r="I115">
        <f t="shared" si="3"/>
        <v>22</v>
      </c>
      <c r="M115" s="229">
        <v>114</v>
      </c>
      <c r="N115" s="229" t="s">
        <v>2425</v>
      </c>
    </row>
    <row r="116" spans="3:14">
      <c r="C116" s="185">
        <v>115</v>
      </c>
      <c r="D116" t="s">
        <v>2675</v>
      </c>
      <c r="G116" s="185" t="s">
        <v>1626</v>
      </c>
      <c r="I116">
        <f t="shared" si="3"/>
        <v>31</v>
      </c>
      <c r="M116" s="229">
        <v>115</v>
      </c>
      <c r="N116" s="229" t="s">
        <v>2426</v>
      </c>
    </row>
    <row r="117" spans="3:14">
      <c r="C117" s="185">
        <v>116</v>
      </c>
      <c r="D117" t="s">
        <v>299</v>
      </c>
      <c r="G117" t="s">
        <v>144</v>
      </c>
      <c r="I117">
        <f t="shared" si="3"/>
        <v>91</v>
      </c>
      <c r="M117" s="229">
        <v>116</v>
      </c>
      <c r="N117" s="229" t="s">
        <v>2427</v>
      </c>
    </row>
    <row r="118" spans="3:14">
      <c r="C118" s="185">
        <v>117</v>
      </c>
      <c r="D118" t="s">
        <v>1750</v>
      </c>
      <c r="G118" s="185" t="s">
        <v>1690</v>
      </c>
      <c r="I118">
        <f t="shared" si="3"/>
        <v>94</v>
      </c>
      <c r="M118" s="229">
        <v>117</v>
      </c>
      <c r="N118" s="229" t="s">
        <v>2428</v>
      </c>
    </row>
    <row r="119" spans="3:14">
      <c r="C119" s="185">
        <v>118</v>
      </c>
      <c r="D119" t="s">
        <v>2676</v>
      </c>
      <c r="G119" t="s">
        <v>659</v>
      </c>
      <c r="I119">
        <f t="shared" si="3"/>
        <v>146</v>
      </c>
      <c r="M119" s="229">
        <v>118</v>
      </c>
      <c r="N119" s="229" t="s">
        <v>2429</v>
      </c>
    </row>
    <row r="120" spans="3:14">
      <c r="C120" s="185">
        <v>119</v>
      </c>
      <c r="D120" t="s">
        <v>367</v>
      </c>
      <c r="G120" t="s">
        <v>1590</v>
      </c>
      <c r="I120">
        <f t="shared" si="3"/>
        <v>41</v>
      </c>
      <c r="M120" s="229">
        <v>119</v>
      </c>
      <c r="N120" s="229" t="s">
        <v>2431</v>
      </c>
    </row>
    <row r="121" spans="3:14">
      <c r="C121" s="185">
        <v>120</v>
      </c>
      <c r="D121" t="s">
        <v>412</v>
      </c>
      <c r="G121" s="185" t="s">
        <v>1690</v>
      </c>
      <c r="I121">
        <f t="shared" si="3"/>
        <v>94</v>
      </c>
      <c r="M121" s="229">
        <v>120</v>
      </c>
      <c r="N121" s="229" t="s">
        <v>2432</v>
      </c>
    </row>
    <row r="122" spans="3:14">
      <c r="C122" s="185">
        <v>121</v>
      </c>
      <c r="D122" t="s">
        <v>2495</v>
      </c>
      <c r="G122" t="s">
        <v>659</v>
      </c>
      <c r="I122">
        <f t="shared" si="3"/>
        <v>146</v>
      </c>
      <c r="M122" s="229">
        <v>121</v>
      </c>
      <c r="N122" s="229" t="s">
        <v>2434</v>
      </c>
    </row>
    <row r="123" spans="3:14">
      <c r="C123" s="185">
        <v>122</v>
      </c>
      <c r="D123" t="s">
        <v>461</v>
      </c>
      <c r="G123" s="185" t="s">
        <v>1677</v>
      </c>
      <c r="I123">
        <f t="shared" si="3"/>
        <v>42</v>
      </c>
      <c r="M123" s="229">
        <v>122</v>
      </c>
      <c r="N123" s="229" t="s">
        <v>2435</v>
      </c>
    </row>
    <row r="124" spans="3:14">
      <c r="C124" s="185">
        <v>123</v>
      </c>
      <c r="D124" t="s">
        <v>328</v>
      </c>
      <c r="G124" s="185" t="s">
        <v>1677</v>
      </c>
      <c r="I124">
        <f t="shared" si="3"/>
        <v>42</v>
      </c>
      <c r="M124" s="229">
        <v>123</v>
      </c>
      <c r="N124" s="229" t="s">
        <v>2436</v>
      </c>
    </row>
    <row r="125" spans="3:14">
      <c r="C125" s="185">
        <v>124</v>
      </c>
      <c r="D125" t="s">
        <v>2657</v>
      </c>
      <c r="G125" s="185" t="s">
        <v>1452</v>
      </c>
      <c r="I125">
        <f t="shared" si="3"/>
        <v>33</v>
      </c>
      <c r="M125" s="229">
        <v>124</v>
      </c>
      <c r="N125" s="229" t="s">
        <v>2438</v>
      </c>
    </row>
    <row r="126" spans="3:14">
      <c r="C126" s="185">
        <v>125</v>
      </c>
      <c r="D126" t="s">
        <v>1849</v>
      </c>
      <c r="G126" t="s">
        <v>2668</v>
      </c>
      <c r="I126">
        <f t="shared" si="3"/>
        <v>151</v>
      </c>
      <c r="M126" s="229">
        <v>125</v>
      </c>
      <c r="N126" s="229" t="s">
        <v>2440</v>
      </c>
    </row>
    <row r="127" spans="3:14">
      <c r="C127" s="185">
        <v>126</v>
      </c>
      <c r="D127" t="s">
        <v>2678</v>
      </c>
      <c r="G127" s="185" t="s">
        <v>1452</v>
      </c>
      <c r="I127">
        <f t="shared" si="3"/>
        <v>33</v>
      </c>
      <c r="M127" s="229">
        <v>126</v>
      </c>
      <c r="N127" s="229" t="s">
        <v>2443</v>
      </c>
    </row>
    <row r="128" spans="3:14">
      <c r="C128" s="185">
        <v>127</v>
      </c>
      <c r="D128" t="s">
        <v>1877</v>
      </c>
      <c r="G128" s="185" t="s">
        <v>2252</v>
      </c>
      <c r="I128">
        <f t="shared" si="3"/>
        <v>95</v>
      </c>
      <c r="M128" s="229">
        <v>127</v>
      </c>
      <c r="N128" s="229" t="s">
        <v>2445</v>
      </c>
    </row>
    <row r="129" spans="3:14">
      <c r="C129" s="185">
        <v>128</v>
      </c>
      <c r="D129" t="s">
        <v>440</v>
      </c>
      <c r="G129" s="185" t="s">
        <v>1690</v>
      </c>
      <c r="I129">
        <f t="shared" si="3"/>
        <v>94</v>
      </c>
      <c r="M129" s="229">
        <v>128</v>
      </c>
      <c r="N129" s="229" t="s">
        <v>2447</v>
      </c>
    </row>
    <row r="130" spans="3:14">
      <c r="C130" s="185">
        <v>129</v>
      </c>
      <c r="D130" t="s">
        <v>2679</v>
      </c>
      <c r="G130" t="s">
        <v>2666</v>
      </c>
      <c r="I130">
        <f t="shared" si="3"/>
        <v>148</v>
      </c>
      <c r="M130" s="229">
        <v>129</v>
      </c>
      <c r="N130" s="229" t="s">
        <v>2449</v>
      </c>
    </row>
    <row r="131" spans="3:14">
      <c r="C131" s="185">
        <v>130</v>
      </c>
      <c r="D131" t="s">
        <v>2677</v>
      </c>
      <c r="G131" t="s">
        <v>1622</v>
      </c>
      <c r="I131">
        <f t="shared" si="3"/>
        <v>23</v>
      </c>
      <c r="M131" s="229">
        <v>130</v>
      </c>
      <c r="N131" s="229" t="s">
        <v>2451</v>
      </c>
    </row>
    <row r="132" spans="3:14">
      <c r="C132" s="185">
        <v>131</v>
      </c>
      <c r="D132" t="s">
        <v>1975</v>
      </c>
      <c r="G132" t="s">
        <v>126</v>
      </c>
      <c r="I132">
        <f t="shared" si="3"/>
        <v>22</v>
      </c>
      <c r="M132" s="229">
        <v>131</v>
      </c>
      <c r="N132" s="229" t="s">
        <v>2453</v>
      </c>
    </row>
    <row r="133" spans="3:14">
      <c r="C133" s="185">
        <v>132</v>
      </c>
      <c r="D133" t="s">
        <v>389</v>
      </c>
      <c r="G133" s="185" t="s">
        <v>1592</v>
      </c>
      <c r="I133">
        <f t="shared" si="3"/>
        <v>79</v>
      </c>
      <c r="M133" s="229">
        <v>132</v>
      </c>
      <c r="N133" s="229" t="s">
        <v>2455</v>
      </c>
    </row>
    <row r="134" spans="3:14">
      <c r="C134" s="185">
        <v>133</v>
      </c>
      <c r="D134" t="s">
        <v>2659</v>
      </c>
      <c r="G134" s="185" t="s">
        <v>1417</v>
      </c>
      <c r="I134">
        <f t="shared" si="3"/>
        <v>48</v>
      </c>
      <c r="M134" s="229">
        <v>133</v>
      </c>
      <c r="N134" s="229" t="s">
        <v>2457</v>
      </c>
    </row>
    <row r="135" spans="3:14">
      <c r="C135" s="185">
        <v>134</v>
      </c>
      <c r="D135" t="s">
        <v>395</v>
      </c>
      <c r="G135" s="185" t="s">
        <v>1417</v>
      </c>
      <c r="I135">
        <f t="shared" si="3"/>
        <v>48</v>
      </c>
      <c r="M135" s="229">
        <v>134</v>
      </c>
      <c r="N135" s="229" t="s">
        <v>2458</v>
      </c>
    </row>
    <row r="136" spans="3:14">
      <c r="C136" s="185">
        <v>135</v>
      </c>
      <c r="D136" t="s">
        <v>1734</v>
      </c>
      <c r="G136" s="185" t="s">
        <v>2241</v>
      </c>
      <c r="I136">
        <f t="shared" si="3"/>
        <v>21</v>
      </c>
      <c r="M136" s="229">
        <v>135</v>
      </c>
      <c r="N136" s="229" t="s">
        <v>2460</v>
      </c>
    </row>
    <row r="137" spans="3:14">
      <c r="C137" s="185">
        <v>136</v>
      </c>
      <c r="D137" t="s">
        <v>1759</v>
      </c>
      <c r="G137" t="s">
        <v>160</v>
      </c>
      <c r="I137">
        <f t="shared" si="3"/>
        <v>100</v>
      </c>
      <c r="M137" s="229">
        <v>136</v>
      </c>
      <c r="N137" s="229" t="s">
        <v>2462</v>
      </c>
    </row>
    <row r="138" spans="3:14">
      <c r="C138" s="185">
        <v>137</v>
      </c>
      <c r="D138" t="s">
        <v>735</v>
      </c>
      <c r="G138" s="185" t="s">
        <v>1664</v>
      </c>
      <c r="I138">
        <f t="shared" si="3"/>
        <v>44</v>
      </c>
      <c r="M138" s="229">
        <v>137</v>
      </c>
      <c r="N138" s="229" t="s">
        <v>2464</v>
      </c>
    </row>
    <row r="139" spans="3:14">
      <c r="C139" s="185">
        <v>138</v>
      </c>
      <c r="D139" t="s">
        <v>352</v>
      </c>
      <c r="G139" t="s">
        <v>160</v>
      </c>
      <c r="I139">
        <f t="shared" si="3"/>
        <v>100</v>
      </c>
      <c r="M139" s="229">
        <v>138</v>
      </c>
      <c r="N139" s="229" t="s">
        <v>2466</v>
      </c>
    </row>
    <row r="140" spans="3:14">
      <c r="C140" s="185">
        <v>139</v>
      </c>
      <c r="D140" t="s">
        <v>397</v>
      </c>
      <c r="G140" t="s">
        <v>159</v>
      </c>
      <c r="I140">
        <f t="shared" si="3"/>
        <v>99</v>
      </c>
      <c r="M140" s="229">
        <v>139</v>
      </c>
      <c r="N140" s="229" t="s">
        <v>2467</v>
      </c>
    </row>
    <row r="141" spans="3:14">
      <c r="C141" s="185">
        <v>140</v>
      </c>
      <c r="D141" t="s">
        <v>358</v>
      </c>
      <c r="G141" s="185" t="s">
        <v>1429</v>
      </c>
      <c r="I141">
        <f t="shared" si="3"/>
        <v>75</v>
      </c>
      <c r="M141" s="229">
        <v>140</v>
      </c>
      <c r="N141" s="229" t="s">
        <v>2468</v>
      </c>
    </row>
    <row r="142" spans="3:14">
      <c r="C142" s="185">
        <v>141</v>
      </c>
      <c r="D142" t="s">
        <v>402</v>
      </c>
      <c r="G142" s="185" t="s">
        <v>159</v>
      </c>
      <c r="I142">
        <f t="shared" si="3"/>
        <v>99</v>
      </c>
      <c r="M142" s="229">
        <v>141</v>
      </c>
      <c r="N142" s="229" t="s">
        <v>2469</v>
      </c>
    </row>
    <row r="143" spans="3:14">
      <c r="C143" s="185">
        <v>142</v>
      </c>
      <c r="D143" t="s">
        <v>442</v>
      </c>
      <c r="G143" s="185" t="s">
        <v>1153</v>
      </c>
      <c r="I143">
        <f t="shared" ref="I143:I206" si="4">INDEX(C:C, MATCH(G143,D:D, 0))</f>
        <v>49</v>
      </c>
      <c r="M143" s="229">
        <v>142</v>
      </c>
      <c r="N143" s="229" t="s">
        <v>2470</v>
      </c>
    </row>
    <row r="144" spans="3:14">
      <c r="C144" s="185">
        <v>143</v>
      </c>
      <c r="D144" t="s">
        <v>2660</v>
      </c>
      <c r="G144" t="s">
        <v>1936</v>
      </c>
      <c r="I144">
        <f t="shared" si="4"/>
        <v>147</v>
      </c>
      <c r="M144" s="229">
        <v>143</v>
      </c>
      <c r="N144" s="229" t="s">
        <v>2471</v>
      </c>
    </row>
    <row r="145" spans="3:14">
      <c r="C145" s="185">
        <v>144</v>
      </c>
      <c r="D145" t="s">
        <v>472</v>
      </c>
      <c r="G145" t="s">
        <v>1428</v>
      </c>
      <c r="I145">
        <f t="shared" si="4"/>
        <v>76</v>
      </c>
      <c r="M145" s="229">
        <v>144</v>
      </c>
      <c r="N145" s="229" t="s">
        <v>2472</v>
      </c>
    </row>
    <row r="146" spans="3:14">
      <c r="C146" s="185">
        <v>145</v>
      </c>
      <c r="D146" t="s">
        <v>477</v>
      </c>
      <c r="G146" t="s">
        <v>1428</v>
      </c>
      <c r="I146">
        <f t="shared" si="4"/>
        <v>76</v>
      </c>
      <c r="M146" s="229">
        <v>145</v>
      </c>
      <c r="N146" s="229" t="s">
        <v>2473</v>
      </c>
    </row>
    <row r="147" spans="3:14">
      <c r="C147" s="185">
        <v>146</v>
      </c>
      <c r="D147" t="s">
        <v>659</v>
      </c>
      <c r="G147" s="185" t="s">
        <v>1417</v>
      </c>
      <c r="I147">
        <f t="shared" si="4"/>
        <v>48</v>
      </c>
      <c r="M147" s="229">
        <v>146</v>
      </c>
      <c r="N147" s="229" t="s">
        <v>2474</v>
      </c>
    </row>
    <row r="148" spans="3:14">
      <c r="C148" s="185">
        <v>147</v>
      </c>
      <c r="D148" t="s">
        <v>1936</v>
      </c>
      <c r="G148" t="s">
        <v>2670</v>
      </c>
      <c r="I148">
        <f t="shared" si="4"/>
        <v>36</v>
      </c>
      <c r="M148" s="229">
        <v>147</v>
      </c>
      <c r="N148" s="229" t="s">
        <v>2475</v>
      </c>
    </row>
    <row r="149" spans="3:14">
      <c r="C149" s="185">
        <v>148</v>
      </c>
      <c r="D149" t="s">
        <v>2666</v>
      </c>
      <c r="G149" s="185" t="s">
        <v>1592</v>
      </c>
      <c r="I149">
        <f t="shared" si="4"/>
        <v>79</v>
      </c>
      <c r="M149" s="229">
        <v>148</v>
      </c>
      <c r="N149" s="229" t="s">
        <v>2476</v>
      </c>
    </row>
    <row r="150" spans="3:14">
      <c r="C150" s="185">
        <v>149</v>
      </c>
      <c r="D150" t="s">
        <v>458</v>
      </c>
      <c r="G150" t="s">
        <v>1734</v>
      </c>
      <c r="I150">
        <f t="shared" si="4"/>
        <v>135</v>
      </c>
      <c r="M150" s="229">
        <v>149</v>
      </c>
      <c r="N150" s="229" t="s">
        <v>2477</v>
      </c>
    </row>
    <row r="151" spans="3:14">
      <c r="C151" s="185">
        <v>150</v>
      </c>
      <c r="D151" t="s">
        <v>2064</v>
      </c>
      <c r="G151" t="s">
        <v>1759</v>
      </c>
      <c r="I151">
        <f t="shared" si="4"/>
        <v>136</v>
      </c>
      <c r="M151" s="229">
        <v>150</v>
      </c>
      <c r="N151" s="229" t="s">
        <v>2479</v>
      </c>
    </row>
    <row r="152" spans="3:14">
      <c r="C152" s="185">
        <v>151</v>
      </c>
      <c r="D152" t="s">
        <v>2668</v>
      </c>
      <c r="G152" t="s">
        <v>1789</v>
      </c>
      <c r="I152">
        <f t="shared" si="4"/>
        <v>153</v>
      </c>
      <c r="M152" s="229">
        <v>151</v>
      </c>
      <c r="N152" s="229" t="s">
        <v>2481</v>
      </c>
    </row>
    <row r="153" spans="3:14">
      <c r="C153" s="185">
        <v>152</v>
      </c>
      <c r="D153" t="s">
        <v>2673</v>
      </c>
      <c r="G153" t="s">
        <v>1443</v>
      </c>
      <c r="I153">
        <f t="shared" si="4"/>
        <v>59</v>
      </c>
      <c r="M153" s="229">
        <v>152</v>
      </c>
      <c r="N153" s="229" t="s">
        <v>2482</v>
      </c>
    </row>
    <row r="154" spans="3:14">
      <c r="C154" s="185">
        <v>153</v>
      </c>
      <c r="D154" t="s">
        <v>1789</v>
      </c>
      <c r="G154" t="s">
        <v>1443</v>
      </c>
      <c r="I154">
        <f t="shared" si="4"/>
        <v>59</v>
      </c>
      <c r="M154" s="229">
        <v>153</v>
      </c>
      <c r="N154" s="229" t="s">
        <v>2483</v>
      </c>
    </row>
    <row r="155" spans="3:14">
      <c r="G155" t="s">
        <v>1443</v>
      </c>
      <c r="I155">
        <f t="shared" si="4"/>
        <v>59</v>
      </c>
      <c r="M155" s="229">
        <v>154</v>
      </c>
      <c r="N155" s="229" t="s">
        <v>2484</v>
      </c>
    </row>
    <row r="156" spans="3:14">
      <c r="G156" t="s">
        <v>1443</v>
      </c>
      <c r="I156">
        <f t="shared" si="4"/>
        <v>59</v>
      </c>
      <c r="M156" s="229">
        <v>155</v>
      </c>
      <c r="N156" s="229" t="s">
        <v>2485</v>
      </c>
    </row>
    <row r="157" spans="3:14">
      <c r="G157" t="s">
        <v>1734</v>
      </c>
      <c r="I157">
        <f t="shared" si="4"/>
        <v>135</v>
      </c>
      <c r="M157" s="229">
        <v>156</v>
      </c>
      <c r="N157" s="229" t="s">
        <v>1734</v>
      </c>
    </row>
    <row r="158" spans="3:14">
      <c r="G158" s="185" t="s">
        <v>2240</v>
      </c>
      <c r="I158">
        <f>INDEX(C:C, MATCH(G158,D:D, 0))</f>
        <v>14</v>
      </c>
      <c r="M158" s="229">
        <v>157</v>
      </c>
      <c r="N158" s="229" t="s">
        <v>2486</v>
      </c>
    </row>
    <row r="159" spans="3:14">
      <c r="G159" s="185" t="s">
        <v>1381</v>
      </c>
      <c r="I159">
        <f t="shared" si="4"/>
        <v>65</v>
      </c>
      <c r="M159" s="229">
        <v>158</v>
      </c>
      <c r="N159" s="229" t="s">
        <v>1804</v>
      </c>
    </row>
    <row r="160" spans="3:14">
      <c r="G160" s="185" t="s">
        <v>159</v>
      </c>
      <c r="I160">
        <f t="shared" si="4"/>
        <v>99</v>
      </c>
      <c r="M160" s="229">
        <v>159</v>
      </c>
      <c r="N160" s="229" t="s">
        <v>2487</v>
      </c>
    </row>
    <row r="161" spans="7:14">
      <c r="G161" t="s">
        <v>2673</v>
      </c>
      <c r="I161">
        <f t="shared" si="4"/>
        <v>152</v>
      </c>
      <c r="M161" s="229">
        <v>160</v>
      </c>
      <c r="N161" s="229" t="s">
        <v>2488</v>
      </c>
    </row>
    <row r="162" spans="7:14">
      <c r="G162" t="s">
        <v>735</v>
      </c>
      <c r="I162">
        <f t="shared" si="4"/>
        <v>137</v>
      </c>
      <c r="M162" s="229">
        <v>161</v>
      </c>
      <c r="N162" s="229" t="s">
        <v>2489</v>
      </c>
    </row>
    <row r="163" spans="7:14">
      <c r="G163" t="s">
        <v>1429</v>
      </c>
      <c r="I163">
        <f t="shared" si="4"/>
        <v>75</v>
      </c>
      <c r="M163" s="229">
        <v>162</v>
      </c>
      <c r="N163" s="229" t="s">
        <v>2490</v>
      </c>
    </row>
    <row r="164" spans="7:14">
      <c r="G164" t="s">
        <v>1734</v>
      </c>
      <c r="I164">
        <f t="shared" si="4"/>
        <v>135</v>
      </c>
      <c r="M164" s="229">
        <v>163</v>
      </c>
      <c r="N164" s="229" t="s">
        <v>2491</v>
      </c>
    </row>
    <row r="165" spans="7:14">
      <c r="G165" t="s">
        <v>1428</v>
      </c>
      <c r="I165">
        <f t="shared" si="4"/>
        <v>76</v>
      </c>
      <c r="M165" s="229">
        <v>164</v>
      </c>
      <c r="N165" s="229" t="s">
        <v>2492</v>
      </c>
    </row>
    <row r="166" spans="7:14">
      <c r="G166" t="s">
        <v>2661</v>
      </c>
      <c r="I166">
        <f t="shared" si="4"/>
        <v>83</v>
      </c>
    </row>
    <row r="167" spans="7:14">
      <c r="G167" t="s">
        <v>2666</v>
      </c>
      <c r="I167">
        <f t="shared" si="4"/>
        <v>148</v>
      </c>
    </row>
    <row r="168" spans="7:14">
      <c r="G168" t="s">
        <v>1590</v>
      </c>
      <c r="I168">
        <f t="shared" si="4"/>
        <v>41</v>
      </c>
    </row>
    <row r="169" spans="7:14">
      <c r="G169" t="s">
        <v>1427</v>
      </c>
      <c r="I169">
        <f t="shared" si="4"/>
        <v>73</v>
      </c>
    </row>
    <row r="170" spans="7:14">
      <c r="G170" t="s">
        <v>1427</v>
      </c>
      <c r="I170">
        <f t="shared" si="4"/>
        <v>73</v>
      </c>
    </row>
    <row r="171" spans="7:14">
      <c r="G171" s="185" t="s">
        <v>1690</v>
      </c>
      <c r="I171">
        <f t="shared" si="4"/>
        <v>94</v>
      </c>
    </row>
    <row r="172" spans="7:14">
      <c r="G172" t="s">
        <v>458</v>
      </c>
      <c r="I172">
        <f t="shared" si="4"/>
        <v>149</v>
      </c>
    </row>
    <row r="173" spans="7:14">
      <c r="G173" t="s">
        <v>2677</v>
      </c>
      <c r="I173">
        <f t="shared" si="4"/>
        <v>130</v>
      </c>
    </row>
    <row r="174" spans="7:14">
      <c r="G174" s="185" t="s">
        <v>29</v>
      </c>
      <c r="I174">
        <f t="shared" si="4"/>
        <v>96</v>
      </c>
    </row>
    <row r="175" spans="7:14">
      <c r="G175" t="s">
        <v>2064</v>
      </c>
      <c r="I175">
        <f t="shared" si="4"/>
        <v>150</v>
      </c>
    </row>
    <row r="176" spans="7:14">
      <c r="G176" t="s">
        <v>1582</v>
      </c>
      <c r="I176">
        <f t="shared" si="4"/>
        <v>54</v>
      </c>
    </row>
    <row r="177" spans="7:9">
      <c r="G177" s="185" t="s">
        <v>1628</v>
      </c>
      <c r="I177">
        <f t="shared" si="4"/>
        <v>34</v>
      </c>
    </row>
    <row r="178" spans="7:9">
      <c r="G178" t="s">
        <v>1622</v>
      </c>
      <c r="I178">
        <f t="shared" si="4"/>
        <v>23</v>
      </c>
    </row>
    <row r="179" spans="7:9">
      <c r="G179" t="s">
        <v>126</v>
      </c>
      <c r="I179">
        <f t="shared" si="4"/>
        <v>22</v>
      </c>
    </row>
    <row r="180" spans="7:9">
      <c r="G180" s="185" t="s">
        <v>1626</v>
      </c>
      <c r="I180">
        <f t="shared" si="4"/>
        <v>31</v>
      </c>
    </row>
    <row r="181" spans="7:9">
      <c r="G181" t="s">
        <v>144</v>
      </c>
      <c r="I181">
        <f t="shared" si="4"/>
        <v>91</v>
      </c>
    </row>
    <row r="182" spans="7:9">
      <c r="G182" s="185" t="s">
        <v>1690</v>
      </c>
      <c r="I182">
        <f t="shared" si="4"/>
        <v>94</v>
      </c>
    </row>
    <row r="183" spans="7:9">
      <c r="G183" t="s">
        <v>659</v>
      </c>
      <c r="I183">
        <f t="shared" si="4"/>
        <v>146</v>
      </c>
    </row>
    <row r="184" spans="7:9">
      <c r="G184" t="s">
        <v>1590</v>
      </c>
      <c r="I184">
        <f t="shared" si="4"/>
        <v>41</v>
      </c>
    </row>
    <row r="185" spans="7:9">
      <c r="G185" s="185" t="s">
        <v>1690</v>
      </c>
      <c r="I185">
        <f t="shared" si="4"/>
        <v>94</v>
      </c>
    </row>
    <row r="186" spans="7:9">
      <c r="G186" t="s">
        <v>659</v>
      </c>
      <c r="I186">
        <f t="shared" si="4"/>
        <v>146</v>
      </c>
    </row>
    <row r="187" spans="7:9">
      <c r="G187" s="185" t="s">
        <v>1677</v>
      </c>
      <c r="I187">
        <f t="shared" si="4"/>
        <v>42</v>
      </c>
    </row>
    <row r="188" spans="7:9">
      <c r="G188" s="185" t="s">
        <v>1677</v>
      </c>
      <c r="I188">
        <f t="shared" si="4"/>
        <v>42</v>
      </c>
    </row>
    <row r="189" spans="7:9">
      <c r="G189" s="185" t="s">
        <v>1452</v>
      </c>
      <c r="I189">
        <f t="shared" si="4"/>
        <v>33</v>
      </c>
    </row>
    <row r="190" spans="7:9">
      <c r="G190" t="s">
        <v>2668</v>
      </c>
      <c r="I190">
        <f t="shared" si="4"/>
        <v>151</v>
      </c>
    </row>
    <row r="191" spans="7:9">
      <c r="G191" s="185" t="s">
        <v>1452</v>
      </c>
      <c r="I191">
        <f t="shared" si="4"/>
        <v>33</v>
      </c>
    </row>
    <row r="192" spans="7:9">
      <c r="G192" s="185" t="s">
        <v>2252</v>
      </c>
      <c r="I192">
        <f t="shared" si="4"/>
        <v>95</v>
      </c>
    </row>
    <row r="193" spans="7:9">
      <c r="G193" s="185" t="s">
        <v>1690</v>
      </c>
      <c r="I193">
        <f t="shared" si="4"/>
        <v>94</v>
      </c>
    </row>
    <row r="194" spans="7:9">
      <c r="G194" t="s">
        <v>2666</v>
      </c>
      <c r="I194">
        <f t="shared" si="4"/>
        <v>148</v>
      </c>
    </row>
    <row r="195" spans="7:9">
      <c r="G195" t="s">
        <v>1622</v>
      </c>
      <c r="I195">
        <f t="shared" si="4"/>
        <v>23</v>
      </c>
    </row>
    <row r="196" spans="7:9">
      <c r="G196" t="s">
        <v>126</v>
      </c>
      <c r="I196">
        <f t="shared" si="4"/>
        <v>22</v>
      </c>
    </row>
    <row r="197" spans="7:9">
      <c r="G197" s="185" t="s">
        <v>1592</v>
      </c>
      <c r="I197">
        <f t="shared" si="4"/>
        <v>79</v>
      </c>
    </row>
    <row r="198" spans="7:9">
      <c r="G198" s="185" t="s">
        <v>1417</v>
      </c>
      <c r="I198">
        <f t="shared" si="4"/>
        <v>48</v>
      </c>
    </row>
    <row r="199" spans="7:9">
      <c r="G199" s="185" t="s">
        <v>1417</v>
      </c>
      <c r="I199">
        <f t="shared" si="4"/>
        <v>48</v>
      </c>
    </row>
    <row r="200" spans="7:9">
      <c r="G200" s="185" t="s">
        <v>2241</v>
      </c>
      <c r="I200">
        <f t="shared" si="4"/>
        <v>21</v>
      </c>
    </row>
    <row r="201" spans="7:9">
      <c r="G201" t="s">
        <v>160</v>
      </c>
      <c r="I201">
        <f t="shared" si="4"/>
        <v>100</v>
      </c>
    </row>
    <row r="202" spans="7:9">
      <c r="G202" s="185" t="s">
        <v>1664</v>
      </c>
      <c r="I202">
        <f t="shared" si="4"/>
        <v>44</v>
      </c>
    </row>
    <row r="203" spans="7:9">
      <c r="G203" t="s">
        <v>160</v>
      </c>
      <c r="I203">
        <f t="shared" si="4"/>
        <v>100</v>
      </c>
    </row>
    <row r="204" spans="7:9">
      <c r="G204" t="s">
        <v>159</v>
      </c>
      <c r="I204">
        <f t="shared" si="4"/>
        <v>99</v>
      </c>
    </row>
    <row r="205" spans="7:9">
      <c r="G205" s="185" t="s">
        <v>1429</v>
      </c>
      <c r="I205">
        <f t="shared" si="4"/>
        <v>75</v>
      </c>
    </row>
    <row r="206" spans="7:9">
      <c r="G206" s="185" t="s">
        <v>159</v>
      </c>
      <c r="I206">
        <f t="shared" si="4"/>
        <v>99</v>
      </c>
    </row>
    <row r="207" spans="7:9">
      <c r="G207" s="185" t="s">
        <v>1153</v>
      </c>
      <c r="I207">
        <f t="shared" ref="I207:I229" si="5">INDEX(C:C, MATCH(G207,D:D, 0))</f>
        <v>49</v>
      </c>
    </row>
    <row r="208" spans="7:9">
      <c r="G208" t="s">
        <v>1936</v>
      </c>
      <c r="I208">
        <f t="shared" si="5"/>
        <v>147</v>
      </c>
    </row>
    <row r="209" spans="7:9">
      <c r="G209" t="s">
        <v>1428</v>
      </c>
      <c r="I209">
        <f t="shared" si="5"/>
        <v>76</v>
      </c>
    </row>
    <row r="210" spans="7:9">
      <c r="G210" t="s">
        <v>1428</v>
      </c>
      <c r="I210">
        <f t="shared" si="5"/>
        <v>76</v>
      </c>
    </row>
    <row r="211" spans="7:9">
      <c r="G211" s="185" t="s">
        <v>1417</v>
      </c>
      <c r="I211">
        <f t="shared" si="5"/>
        <v>48</v>
      </c>
    </row>
    <row r="212" spans="7:9">
      <c r="G212" t="s">
        <v>2670</v>
      </c>
      <c r="I212">
        <f t="shared" si="5"/>
        <v>36</v>
      </c>
    </row>
    <row r="213" spans="7:9">
      <c r="G213" s="185" t="s">
        <v>1592</v>
      </c>
      <c r="I213">
        <f t="shared" si="5"/>
        <v>79</v>
      </c>
    </row>
    <row r="214" spans="7:9">
      <c r="G214" t="s">
        <v>1734</v>
      </c>
      <c r="I214">
        <f t="shared" si="5"/>
        <v>135</v>
      </c>
    </row>
    <row r="215" spans="7:9">
      <c r="G215" t="s">
        <v>1759</v>
      </c>
      <c r="I215">
        <f t="shared" si="5"/>
        <v>136</v>
      </c>
    </row>
    <row r="216" spans="7:9">
      <c r="G216" t="s">
        <v>1789</v>
      </c>
      <c r="I216">
        <f t="shared" si="5"/>
        <v>153</v>
      </c>
    </row>
    <row r="217" spans="7:9">
      <c r="G217" t="s">
        <v>1443</v>
      </c>
      <c r="I217">
        <f t="shared" si="5"/>
        <v>59</v>
      </c>
    </row>
    <row r="218" spans="7:9">
      <c r="G218" t="s">
        <v>1443</v>
      </c>
      <c r="I218">
        <f t="shared" si="5"/>
        <v>59</v>
      </c>
    </row>
    <row r="219" spans="7:9">
      <c r="G219" t="s">
        <v>1443</v>
      </c>
      <c r="I219">
        <f t="shared" si="5"/>
        <v>59</v>
      </c>
    </row>
    <row r="220" spans="7:9">
      <c r="G220" t="s">
        <v>1443</v>
      </c>
      <c r="I220">
        <f t="shared" si="5"/>
        <v>59</v>
      </c>
    </row>
    <row r="221" spans="7:9">
      <c r="G221" t="s">
        <v>1734</v>
      </c>
      <c r="I221">
        <f t="shared" si="5"/>
        <v>135</v>
      </c>
    </row>
    <row r="222" spans="7:9">
      <c r="G222" s="185" t="s">
        <v>2240</v>
      </c>
      <c r="I222">
        <f t="shared" si="5"/>
        <v>14</v>
      </c>
    </row>
    <row r="223" spans="7:9">
      <c r="G223" s="185" t="s">
        <v>1381</v>
      </c>
      <c r="I223">
        <f t="shared" si="5"/>
        <v>65</v>
      </c>
    </row>
    <row r="224" spans="7:9">
      <c r="G224" s="185" t="s">
        <v>159</v>
      </c>
      <c r="I224">
        <f t="shared" si="5"/>
        <v>99</v>
      </c>
    </row>
    <row r="225" spans="7:9">
      <c r="G225" t="s">
        <v>2673</v>
      </c>
      <c r="I225">
        <f t="shared" si="5"/>
        <v>152</v>
      </c>
    </row>
    <row r="226" spans="7:9">
      <c r="G226" t="s">
        <v>735</v>
      </c>
      <c r="I226">
        <f t="shared" si="5"/>
        <v>137</v>
      </c>
    </row>
    <row r="227" spans="7:9">
      <c r="G227" s="185" t="s">
        <v>1429</v>
      </c>
      <c r="I227">
        <f t="shared" si="5"/>
        <v>75</v>
      </c>
    </row>
    <row r="228" spans="7:9">
      <c r="G228" t="s">
        <v>1734</v>
      </c>
      <c r="I228">
        <f t="shared" si="5"/>
        <v>135</v>
      </c>
    </row>
    <row r="229" spans="7:9">
      <c r="G229" t="s">
        <v>1428</v>
      </c>
      <c r="I229">
        <f t="shared" si="5"/>
        <v>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Y165"/>
  <sheetViews>
    <sheetView workbookViewId="0">
      <selection activeCell="E6" sqref="E6"/>
    </sheetView>
  </sheetViews>
  <sheetFormatPr defaultRowHeight="15.75"/>
  <cols>
    <col min="1" max="1" width="4" bestFit="1" customWidth="1"/>
    <col min="2" max="2" width="11.7109375" bestFit="1" customWidth="1"/>
    <col min="3" max="3" width="10.42578125" bestFit="1" customWidth="1"/>
    <col min="4" max="4" width="42.7109375" bestFit="1" customWidth="1"/>
    <col min="5" max="5" width="37.5703125" style="248" bestFit="1" customWidth="1"/>
    <col min="6" max="6" width="27.42578125" bestFit="1" customWidth="1"/>
    <col min="7" max="7" width="13.7109375" bestFit="1" customWidth="1"/>
    <col min="8" max="8" width="26.28515625" bestFit="1" customWidth="1"/>
    <col min="9" max="9" width="21.42578125" bestFit="1" customWidth="1"/>
    <col min="10" max="10" width="19.7109375" bestFit="1" customWidth="1"/>
    <col min="11" max="11" width="14" bestFit="1" customWidth="1"/>
    <col min="12" max="12" width="12" bestFit="1" customWidth="1"/>
    <col min="15" max="15" width="2.42578125" bestFit="1" customWidth="1"/>
    <col min="16" max="16" width="17.42578125" bestFit="1" customWidth="1"/>
    <col min="17" max="17" width="6.5703125" bestFit="1" customWidth="1"/>
    <col min="18" max="18" width="14.5703125" bestFit="1" customWidth="1"/>
    <col min="19" max="19" width="19.85546875" bestFit="1" customWidth="1"/>
    <col min="20" max="20" width="16" bestFit="1" customWidth="1"/>
    <col min="21" max="21" width="12.28515625" bestFit="1" customWidth="1"/>
    <col min="22" max="22" width="13.42578125" bestFit="1" customWidth="1"/>
    <col min="23" max="23" width="11.42578125" bestFit="1" customWidth="1"/>
    <col min="24" max="24" width="22.28515625" bestFit="1" customWidth="1"/>
    <col min="25" max="25" width="15.85546875" bestFit="1" customWidth="1"/>
    <col min="27" max="30" width="9.140625" customWidth="1"/>
  </cols>
  <sheetData>
    <row r="1" spans="1:25" ht="15">
      <c r="A1" s="185" t="s">
        <v>175</v>
      </c>
      <c r="B1" s="185" t="s">
        <v>2656</v>
      </c>
      <c r="C1" s="185" t="s">
        <v>177</v>
      </c>
      <c r="D1" s="185"/>
      <c r="E1" s="370" t="s">
        <v>2680</v>
      </c>
      <c r="F1" s="185" t="s">
        <v>2681</v>
      </c>
      <c r="G1" s="185" t="s">
        <v>2682</v>
      </c>
      <c r="H1" s="185" t="s">
        <v>2683</v>
      </c>
      <c r="I1" t="s">
        <v>2684</v>
      </c>
      <c r="J1" t="s">
        <v>2685</v>
      </c>
      <c r="K1" t="s">
        <v>2686</v>
      </c>
      <c r="L1" t="s">
        <v>2687</v>
      </c>
      <c r="M1" t="s">
        <v>187</v>
      </c>
      <c r="N1" t="s">
        <v>185</v>
      </c>
      <c r="O1" t="s">
        <v>186</v>
      </c>
      <c r="P1" t="s">
        <v>2688</v>
      </c>
      <c r="Q1" t="s">
        <v>2689</v>
      </c>
      <c r="R1" t="s">
        <v>2690</v>
      </c>
      <c r="S1" t="s">
        <v>2691</v>
      </c>
      <c r="T1" t="s">
        <v>2692</v>
      </c>
      <c r="U1" t="s">
        <v>2693</v>
      </c>
      <c r="V1" t="s">
        <v>2694</v>
      </c>
      <c r="W1" t="s">
        <v>2695</v>
      </c>
      <c r="X1" t="s">
        <v>2696</v>
      </c>
      <c r="Y1" t="s">
        <v>2697</v>
      </c>
    </row>
    <row r="2" spans="1:25">
      <c r="A2" s="233">
        <v>1</v>
      </c>
      <c r="B2" s="185">
        <v>114</v>
      </c>
      <c r="C2" s="185" t="s">
        <v>2520</v>
      </c>
      <c r="D2" s="185" t="s">
        <v>2674</v>
      </c>
      <c r="E2" s="249" t="s">
        <v>2801</v>
      </c>
      <c r="F2" s="241" t="s">
        <v>1720</v>
      </c>
      <c r="G2" s="233" t="s">
        <v>363</v>
      </c>
      <c r="H2" s="233" t="s">
        <v>1721</v>
      </c>
      <c r="I2" s="368">
        <v>6637657</v>
      </c>
      <c r="L2" s="233">
        <v>2241227.37</v>
      </c>
      <c r="N2" s="238" t="s">
        <v>17</v>
      </c>
      <c r="U2">
        <v>4006</v>
      </c>
    </row>
    <row r="3" spans="1:25">
      <c r="A3" s="233">
        <v>2</v>
      </c>
      <c r="B3" s="185">
        <v>114</v>
      </c>
      <c r="C3" s="185" t="s">
        <v>298</v>
      </c>
      <c r="D3" s="185" t="s">
        <v>2674</v>
      </c>
      <c r="E3" s="249" t="s">
        <v>2802</v>
      </c>
      <c r="F3" s="241" t="s">
        <v>1718</v>
      </c>
      <c r="G3" s="233" t="s">
        <v>1719</v>
      </c>
      <c r="H3" s="233" t="s">
        <v>1719</v>
      </c>
      <c r="I3" s="368">
        <v>6153193</v>
      </c>
      <c r="L3" s="233">
        <v>9058670</v>
      </c>
      <c r="N3" s="238" t="s">
        <v>17</v>
      </c>
      <c r="U3">
        <v>4006</v>
      </c>
    </row>
    <row r="4" spans="1:25">
      <c r="A4" s="233">
        <v>3</v>
      </c>
      <c r="B4" s="185">
        <v>115</v>
      </c>
      <c r="C4" s="185" t="s">
        <v>298</v>
      </c>
      <c r="D4" s="185" t="s">
        <v>2675</v>
      </c>
      <c r="E4" s="249" t="s">
        <v>2803</v>
      </c>
      <c r="F4" s="241" t="s">
        <v>1730</v>
      </c>
      <c r="G4" s="233" t="s">
        <v>1731</v>
      </c>
      <c r="H4" s="233" t="s">
        <v>1731</v>
      </c>
      <c r="I4" s="368">
        <v>404049</v>
      </c>
      <c r="L4" s="233">
        <v>394500</v>
      </c>
      <c r="N4" s="238" t="s">
        <v>17</v>
      </c>
      <c r="U4">
        <v>4006</v>
      </c>
    </row>
    <row r="5" spans="1:25">
      <c r="A5" s="233">
        <v>4</v>
      </c>
      <c r="B5" s="185">
        <v>116</v>
      </c>
      <c r="C5" s="185" t="s">
        <v>298</v>
      </c>
      <c r="D5" s="185" t="s">
        <v>299</v>
      </c>
      <c r="E5" s="249" t="s">
        <v>2804</v>
      </c>
      <c r="F5" s="241" t="s">
        <v>1732</v>
      </c>
      <c r="G5" s="233" t="s">
        <v>1733</v>
      </c>
      <c r="H5" s="233" t="s">
        <v>1733</v>
      </c>
      <c r="I5" s="368">
        <v>207377</v>
      </c>
      <c r="L5" s="233">
        <v>0.5</v>
      </c>
      <c r="N5" s="238" t="s">
        <v>17</v>
      </c>
      <c r="U5">
        <v>4006</v>
      </c>
    </row>
    <row r="6" spans="1:25">
      <c r="A6" s="233">
        <v>5</v>
      </c>
      <c r="B6" s="185">
        <v>82</v>
      </c>
      <c r="C6" s="185" t="s">
        <v>3020</v>
      </c>
      <c r="D6" s="185" t="s">
        <v>18</v>
      </c>
      <c r="E6" s="249" t="s">
        <v>3101</v>
      </c>
      <c r="F6" s="241" t="s">
        <v>1943</v>
      </c>
      <c r="G6" s="233" t="s">
        <v>1944</v>
      </c>
      <c r="H6" s="233" t="s">
        <v>1944</v>
      </c>
      <c r="I6" s="368">
        <v>8219028</v>
      </c>
      <c r="L6" s="233">
        <v>1</v>
      </c>
      <c r="N6" s="238" t="s">
        <v>17</v>
      </c>
      <c r="U6">
        <v>4006</v>
      </c>
    </row>
    <row r="7" spans="1:25">
      <c r="A7" s="233">
        <v>6</v>
      </c>
      <c r="B7" s="185">
        <v>105</v>
      </c>
      <c r="C7" s="185" t="s">
        <v>298</v>
      </c>
      <c r="D7" s="185" t="s">
        <v>455</v>
      </c>
      <c r="E7" s="249" t="s">
        <v>2805</v>
      </c>
      <c r="F7" s="241" t="s">
        <v>1700</v>
      </c>
      <c r="G7" s="233" t="s">
        <v>1701</v>
      </c>
      <c r="H7" s="233" t="s">
        <v>1702</v>
      </c>
      <c r="I7" s="368">
        <v>3074629</v>
      </c>
      <c r="L7" s="233">
        <v>4275702</v>
      </c>
      <c r="N7" s="238" t="s">
        <v>17</v>
      </c>
      <c r="U7">
        <v>4006</v>
      </c>
    </row>
    <row r="8" spans="1:25">
      <c r="A8" s="233">
        <v>7</v>
      </c>
      <c r="B8" s="185">
        <v>105</v>
      </c>
      <c r="C8" s="185" t="s">
        <v>298</v>
      </c>
      <c r="D8" s="185" t="s">
        <v>455</v>
      </c>
      <c r="E8" s="249" t="s">
        <v>2806</v>
      </c>
      <c r="F8" s="241" t="s">
        <v>2709</v>
      </c>
      <c r="G8" s="233" t="s">
        <v>1704</v>
      </c>
      <c r="H8" s="233" t="s">
        <v>1704</v>
      </c>
      <c r="I8" s="368">
        <v>3407220</v>
      </c>
      <c r="L8" s="233">
        <v>6326787</v>
      </c>
      <c r="N8" s="238" t="s">
        <v>17</v>
      </c>
      <c r="U8">
        <v>4006</v>
      </c>
    </row>
    <row r="9" spans="1:25">
      <c r="A9" s="233">
        <v>8</v>
      </c>
      <c r="B9" s="185">
        <v>117</v>
      </c>
      <c r="C9" s="185" t="s">
        <v>298</v>
      </c>
      <c r="D9" s="185" t="s">
        <v>1750</v>
      </c>
      <c r="E9" s="249" t="s">
        <v>2807</v>
      </c>
      <c r="F9" s="241" t="s">
        <v>1751</v>
      </c>
      <c r="G9" s="233" t="s">
        <v>363</v>
      </c>
      <c r="H9" s="233" t="s">
        <v>1752</v>
      </c>
      <c r="I9" s="368">
        <v>5615148</v>
      </c>
      <c r="L9" s="233">
        <v>9432035.0999999996</v>
      </c>
      <c r="N9" s="238" t="s">
        <v>17</v>
      </c>
      <c r="U9">
        <v>4006</v>
      </c>
    </row>
    <row r="10" spans="1:25">
      <c r="A10" s="233">
        <v>9</v>
      </c>
      <c r="B10" s="185">
        <v>118</v>
      </c>
      <c r="C10" s="185" t="s">
        <v>298</v>
      </c>
      <c r="D10" s="185" t="s">
        <v>2676</v>
      </c>
      <c r="E10" s="249" t="s">
        <v>2808</v>
      </c>
      <c r="F10" s="241" t="s">
        <v>1748</v>
      </c>
      <c r="G10" s="233" t="s">
        <v>1749</v>
      </c>
      <c r="H10" s="233" t="s">
        <v>1749</v>
      </c>
      <c r="I10" s="368">
        <v>1779056</v>
      </c>
      <c r="L10" s="233">
        <v>1994531.46</v>
      </c>
      <c r="N10" s="238" t="s">
        <v>17</v>
      </c>
      <c r="U10">
        <v>4006</v>
      </c>
    </row>
    <row r="11" spans="1:25">
      <c r="A11" s="233">
        <v>10</v>
      </c>
      <c r="B11" s="185">
        <v>119</v>
      </c>
      <c r="C11" s="185" t="s">
        <v>298</v>
      </c>
      <c r="D11" s="185" t="s">
        <v>367</v>
      </c>
      <c r="E11" s="249" t="s">
        <v>2809</v>
      </c>
      <c r="F11" s="241" t="s">
        <v>1777</v>
      </c>
      <c r="G11" s="233" t="s">
        <v>1778</v>
      </c>
      <c r="H11" s="233" t="s">
        <v>1778</v>
      </c>
      <c r="I11" s="368">
        <v>621942</v>
      </c>
      <c r="L11" s="233">
        <v>859949</v>
      </c>
      <c r="N11" s="238" t="s">
        <v>17</v>
      </c>
      <c r="U11">
        <v>4006</v>
      </c>
    </row>
    <row r="12" spans="1:25">
      <c r="A12" s="233">
        <v>11</v>
      </c>
      <c r="B12" s="185">
        <v>119</v>
      </c>
      <c r="C12" s="185" t="s">
        <v>2520</v>
      </c>
      <c r="D12" s="185" t="s">
        <v>367</v>
      </c>
      <c r="E12" s="249" t="s">
        <v>2810</v>
      </c>
      <c r="F12" s="241" t="s">
        <v>1775</v>
      </c>
      <c r="G12" s="233" t="s">
        <v>1776</v>
      </c>
      <c r="H12" s="233" t="s">
        <v>1776</v>
      </c>
      <c r="I12" s="368">
        <v>2571483</v>
      </c>
      <c r="L12" s="233">
        <v>3503141</v>
      </c>
      <c r="N12" s="238" t="s">
        <v>17</v>
      </c>
      <c r="U12">
        <v>4006</v>
      </c>
    </row>
    <row r="13" spans="1:25">
      <c r="A13" s="233">
        <v>12</v>
      </c>
      <c r="B13" s="185">
        <v>120</v>
      </c>
      <c r="C13" s="185" t="s">
        <v>298</v>
      </c>
      <c r="D13" s="185" t="s">
        <v>412</v>
      </c>
      <c r="E13" s="249" t="s">
        <v>2811</v>
      </c>
      <c r="F13" s="241" t="s">
        <v>1767</v>
      </c>
      <c r="G13" s="233" t="s">
        <v>414</v>
      </c>
      <c r="H13" s="233" t="s">
        <v>414</v>
      </c>
      <c r="I13" s="368">
        <v>1489100</v>
      </c>
      <c r="L13" s="233">
        <v>1240001</v>
      </c>
      <c r="N13" s="238" t="s">
        <v>17</v>
      </c>
      <c r="U13">
        <v>4006</v>
      </c>
    </row>
    <row r="14" spans="1:25">
      <c r="A14" s="233">
        <v>13</v>
      </c>
      <c r="B14" s="185">
        <v>120</v>
      </c>
      <c r="C14" s="185" t="s">
        <v>298</v>
      </c>
      <c r="D14" s="185" t="s">
        <v>412</v>
      </c>
      <c r="E14" s="249" t="s">
        <v>2812</v>
      </c>
      <c r="F14" s="241" t="s">
        <v>1765</v>
      </c>
      <c r="G14" s="233" t="s">
        <v>1766</v>
      </c>
      <c r="H14" s="233" t="s">
        <v>1766</v>
      </c>
      <c r="I14" s="368">
        <v>565075</v>
      </c>
      <c r="L14" s="233">
        <v>575000</v>
      </c>
      <c r="N14" s="238" t="s">
        <v>17</v>
      </c>
      <c r="U14">
        <v>4006</v>
      </c>
    </row>
    <row r="15" spans="1:25">
      <c r="A15" s="233">
        <v>14</v>
      </c>
      <c r="B15" s="185">
        <v>120</v>
      </c>
      <c r="C15" s="185" t="s">
        <v>298</v>
      </c>
      <c r="D15" s="185" t="s">
        <v>412</v>
      </c>
      <c r="E15" s="249" t="s">
        <v>2813</v>
      </c>
      <c r="F15" s="241" t="s">
        <v>1768</v>
      </c>
      <c r="G15" s="233" t="s">
        <v>1769</v>
      </c>
      <c r="H15" s="233" t="s">
        <v>1769</v>
      </c>
      <c r="I15" s="368">
        <v>2155728</v>
      </c>
      <c r="L15" s="233">
        <v>2200000</v>
      </c>
      <c r="N15" s="238" t="s">
        <v>17</v>
      </c>
      <c r="U15">
        <v>4006</v>
      </c>
    </row>
    <row r="16" spans="1:25">
      <c r="A16" s="233">
        <v>15</v>
      </c>
      <c r="B16" s="185">
        <v>120</v>
      </c>
      <c r="C16" s="185" t="s">
        <v>298</v>
      </c>
      <c r="D16" s="185" t="s">
        <v>412</v>
      </c>
      <c r="E16" s="249" t="s">
        <v>2814</v>
      </c>
      <c r="F16" s="241" t="s">
        <v>1762</v>
      </c>
      <c r="G16" s="233" t="s">
        <v>1763</v>
      </c>
      <c r="H16" s="233" t="s">
        <v>1764</v>
      </c>
      <c r="I16" s="368">
        <v>1931233</v>
      </c>
      <c r="L16" s="233">
        <v>1969000</v>
      </c>
      <c r="N16" s="238" t="s">
        <v>17</v>
      </c>
      <c r="U16">
        <v>4006</v>
      </c>
    </row>
    <row r="17" spans="1:21">
      <c r="A17" s="233">
        <v>16</v>
      </c>
      <c r="B17" s="185">
        <v>120</v>
      </c>
      <c r="C17" s="185" t="s">
        <v>298</v>
      </c>
      <c r="D17" s="185" t="s">
        <v>412</v>
      </c>
      <c r="E17" s="249" t="s">
        <v>2815</v>
      </c>
      <c r="F17" s="241" t="s">
        <v>1772</v>
      </c>
      <c r="G17" s="233" t="s">
        <v>1773</v>
      </c>
      <c r="H17" s="233" t="s">
        <v>1774</v>
      </c>
      <c r="I17" s="368">
        <v>3052586</v>
      </c>
      <c r="L17" s="233">
        <v>3100000</v>
      </c>
      <c r="N17" s="238" t="s">
        <v>17</v>
      </c>
      <c r="U17">
        <v>4006</v>
      </c>
    </row>
    <row r="18" spans="1:21">
      <c r="A18" s="233">
        <v>17</v>
      </c>
      <c r="B18" s="185">
        <v>120</v>
      </c>
      <c r="C18" s="185" t="s">
        <v>298</v>
      </c>
      <c r="D18" s="185" t="s">
        <v>412</v>
      </c>
      <c r="E18" s="249" t="s">
        <v>2816</v>
      </c>
      <c r="F18" s="241" t="s">
        <v>1770</v>
      </c>
      <c r="G18" s="233" t="s">
        <v>1771</v>
      </c>
      <c r="H18" s="233" t="s">
        <v>1771</v>
      </c>
      <c r="I18" s="368">
        <v>1324609</v>
      </c>
      <c r="L18" s="233">
        <v>1200000.8500000001</v>
      </c>
      <c r="N18" s="238" t="s">
        <v>17</v>
      </c>
      <c r="U18">
        <v>4006</v>
      </c>
    </row>
    <row r="19" spans="1:21">
      <c r="A19" s="233">
        <v>18</v>
      </c>
      <c r="B19" s="185">
        <v>121</v>
      </c>
      <c r="C19" s="185" t="s">
        <v>298</v>
      </c>
      <c r="D19" s="185" t="s">
        <v>2495</v>
      </c>
      <c r="E19" s="249" t="s">
        <v>2817</v>
      </c>
      <c r="F19" s="241" t="s">
        <v>2710</v>
      </c>
      <c r="G19" s="233" t="s">
        <v>363</v>
      </c>
      <c r="H19" s="233" t="s">
        <v>363</v>
      </c>
      <c r="I19" s="368">
        <v>6314254</v>
      </c>
      <c r="L19" s="233">
        <v>0.42</v>
      </c>
      <c r="N19" s="238" t="s">
        <v>17</v>
      </c>
      <c r="U19">
        <v>4006</v>
      </c>
    </row>
    <row r="20" spans="1:21">
      <c r="A20" s="233">
        <v>19</v>
      </c>
      <c r="B20" s="185">
        <v>122</v>
      </c>
      <c r="C20" s="185" t="s">
        <v>298</v>
      </c>
      <c r="D20" s="185" t="s">
        <v>461</v>
      </c>
      <c r="E20" s="249" t="s">
        <v>2818</v>
      </c>
      <c r="F20" s="241" t="s">
        <v>2711</v>
      </c>
      <c r="G20" s="233" t="s">
        <v>463</v>
      </c>
      <c r="H20" s="233" t="s">
        <v>1793</v>
      </c>
      <c r="I20" s="368">
        <v>4187202</v>
      </c>
      <c r="L20" s="233">
        <v>11626692</v>
      </c>
      <c r="N20" s="238" t="s">
        <v>17</v>
      </c>
      <c r="U20">
        <v>4006</v>
      </c>
    </row>
    <row r="21" spans="1:21">
      <c r="A21" s="233">
        <v>20</v>
      </c>
      <c r="B21" s="185">
        <v>122</v>
      </c>
      <c r="C21" s="185" t="s">
        <v>298</v>
      </c>
      <c r="D21" s="185" t="s">
        <v>461</v>
      </c>
      <c r="E21" s="249" t="s">
        <v>2819</v>
      </c>
      <c r="F21" s="241" t="s">
        <v>1795</v>
      </c>
      <c r="G21" s="233" t="s">
        <v>1796</v>
      </c>
      <c r="H21" s="233" t="s">
        <v>1793</v>
      </c>
      <c r="I21" s="368">
        <v>517521</v>
      </c>
      <c r="L21" s="233">
        <v>1170430</v>
      </c>
      <c r="N21" s="238" t="s">
        <v>17</v>
      </c>
      <c r="U21">
        <v>4006</v>
      </c>
    </row>
    <row r="22" spans="1:21">
      <c r="A22" s="233">
        <v>21</v>
      </c>
      <c r="B22" s="185">
        <v>122</v>
      </c>
      <c r="C22" s="185" t="s">
        <v>298</v>
      </c>
      <c r="D22" s="185" t="s">
        <v>461</v>
      </c>
      <c r="E22" s="249" t="s">
        <v>2820</v>
      </c>
      <c r="F22" s="241" t="s">
        <v>2655</v>
      </c>
      <c r="G22" s="233" t="s">
        <v>383</v>
      </c>
      <c r="H22" s="233" t="s">
        <v>1793</v>
      </c>
      <c r="I22" s="368">
        <v>2582760</v>
      </c>
      <c r="L22" s="233">
        <v>6258611.8799999999</v>
      </c>
      <c r="N22" s="238" t="s">
        <v>17</v>
      </c>
      <c r="U22">
        <v>4006</v>
      </c>
    </row>
    <row r="23" spans="1:21">
      <c r="A23" s="233">
        <v>22</v>
      </c>
      <c r="B23" s="185">
        <v>123</v>
      </c>
      <c r="C23" s="185" t="s">
        <v>298</v>
      </c>
      <c r="D23" s="185" t="s">
        <v>328</v>
      </c>
      <c r="E23" s="249" t="s">
        <v>2821</v>
      </c>
      <c r="F23" s="241" t="s">
        <v>1807</v>
      </c>
      <c r="G23" s="233" t="s">
        <v>383</v>
      </c>
      <c r="H23" s="233" t="s">
        <v>383</v>
      </c>
      <c r="I23" s="368">
        <v>1542847</v>
      </c>
      <c r="L23" s="233">
        <v>2500000.8199999998</v>
      </c>
      <c r="N23" s="238" t="s">
        <v>17</v>
      </c>
      <c r="U23">
        <v>4006</v>
      </c>
    </row>
    <row r="24" spans="1:21">
      <c r="A24" s="233">
        <v>23</v>
      </c>
      <c r="B24" s="185">
        <v>124</v>
      </c>
      <c r="C24" s="185" t="s">
        <v>298</v>
      </c>
      <c r="D24" s="185" t="s">
        <v>2657</v>
      </c>
      <c r="E24" s="249" t="s">
        <v>2822</v>
      </c>
      <c r="F24" s="241" t="s">
        <v>1822</v>
      </c>
      <c r="G24" s="233" t="s">
        <v>1823</v>
      </c>
      <c r="H24" s="233" t="s">
        <v>1823</v>
      </c>
      <c r="I24" s="368">
        <v>10155776</v>
      </c>
      <c r="L24" s="233">
        <v>34879562</v>
      </c>
      <c r="N24" s="238" t="s">
        <v>17</v>
      </c>
      <c r="U24">
        <v>4006</v>
      </c>
    </row>
    <row r="25" spans="1:21">
      <c r="A25" s="233">
        <v>24</v>
      </c>
      <c r="B25" s="185">
        <v>124</v>
      </c>
      <c r="C25" s="185" t="s">
        <v>298</v>
      </c>
      <c r="D25" s="185" t="s">
        <v>2657</v>
      </c>
      <c r="E25" s="249" t="s">
        <v>2823</v>
      </c>
      <c r="F25" s="241" t="s">
        <v>1820</v>
      </c>
      <c r="G25" s="233" t="s">
        <v>1821</v>
      </c>
      <c r="H25" s="233" t="s">
        <v>1821</v>
      </c>
      <c r="I25" s="368">
        <v>7138734</v>
      </c>
      <c r="L25" s="233">
        <v>13490900</v>
      </c>
      <c r="N25" s="238" t="s">
        <v>17</v>
      </c>
      <c r="U25">
        <v>4006</v>
      </c>
    </row>
    <row r="26" spans="1:21">
      <c r="A26" s="233">
        <v>25</v>
      </c>
      <c r="B26" s="185">
        <v>124</v>
      </c>
      <c r="C26" s="185" t="s">
        <v>2505</v>
      </c>
      <c r="D26" s="185" t="s">
        <v>2657</v>
      </c>
      <c r="E26" s="249" t="s">
        <v>2824</v>
      </c>
      <c r="F26" s="241" t="s">
        <v>1824</v>
      </c>
      <c r="G26" s="233" t="s">
        <v>1825</v>
      </c>
      <c r="H26" s="233" t="s">
        <v>1825</v>
      </c>
      <c r="I26" s="368">
        <v>7489618</v>
      </c>
      <c r="L26" s="233">
        <v>13707072</v>
      </c>
      <c r="N26" s="238" t="s">
        <v>17</v>
      </c>
      <c r="U26">
        <v>4006</v>
      </c>
    </row>
    <row r="27" spans="1:21">
      <c r="A27" s="233">
        <v>26</v>
      </c>
      <c r="B27" s="185">
        <v>70</v>
      </c>
      <c r="C27" s="185" t="s">
        <v>3020</v>
      </c>
      <c r="D27" s="185" t="s">
        <v>1826</v>
      </c>
      <c r="E27" s="249" t="s">
        <v>3102</v>
      </c>
      <c r="F27" s="241" t="s">
        <v>1827</v>
      </c>
      <c r="G27" s="233" t="s">
        <v>1828</v>
      </c>
      <c r="H27" s="233" t="s">
        <v>1828</v>
      </c>
      <c r="I27" s="368">
        <v>3468239</v>
      </c>
      <c r="L27" s="233">
        <v>1</v>
      </c>
      <c r="N27" s="238" t="s">
        <v>17</v>
      </c>
      <c r="U27">
        <v>4006</v>
      </c>
    </row>
    <row r="28" spans="1:21">
      <c r="A28" s="233">
        <v>27</v>
      </c>
      <c r="B28" s="185">
        <v>125</v>
      </c>
      <c r="C28" s="185" t="s">
        <v>298</v>
      </c>
      <c r="D28" s="185" t="s">
        <v>1849</v>
      </c>
      <c r="E28" s="249" t="s">
        <v>2825</v>
      </c>
      <c r="F28" s="241" t="s">
        <v>1850</v>
      </c>
      <c r="G28" s="233" t="s">
        <v>1851</v>
      </c>
      <c r="H28" s="233" t="s">
        <v>1851</v>
      </c>
      <c r="I28" s="368">
        <v>1492420</v>
      </c>
      <c r="L28" s="233">
        <v>7951</v>
      </c>
      <c r="N28" s="238" t="s">
        <v>17</v>
      </c>
      <c r="U28">
        <v>4006</v>
      </c>
    </row>
    <row r="29" spans="1:21">
      <c r="A29" s="233">
        <v>28</v>
      </c>
      <c r="B29" s="185">
        <v>126</v>
      </c>
      <c r="C29" s="185" t="s">
        <v>298</v>
      </c>
      <c r="D29" s="185" t="s">
        <v>2678</v>
      </c>
      <c r="E29" s="249" t="s">
        <v>2826</v>
      </c>
      <c r="F29" s="241" t="s">
        <v>1886</v>
      </c>
      <c r="G29" s="233" t="s">
        <v>360</v>
      </c>
      <c r="H29" s="233" t="s">
        <v>360</v>
      </c>
      <c r="I29" s="368">
        <v>1984347</v>
      </c>
      <c r="L29" s="233">
        <v>1814213</v>
      </c>
      <c r="N29" s="238" t="s">
        <v>17</v>
      </c>
      <c r="U29">
        <v>4006</v>
      </c>
    </row>
    <row r="30" spans="1:21">
      <c r="A30" s="233">
        <v>29</v>
      </c>
      <c r="B30" s="185">
        <v>127</v>
      </c>
      <c r="C30" s="185" t="s">
        <v>2520</v>
      </c>
      <c r="D30" s="185" t="s">
        <v>1877</v>
      </c>
      <c r="E30" s="249" t="s">
        <v>2827</v>
      </c>
      <c r="F30" s="241" t="s">
        <v>1878</v>
      </c>
      <c r="G30" s="233" t="s">
        <v>434</v>
      </c>
      <c r="H30" s="233" t="s">
        <v>434</v>
      </c>
      <c r="I30" s="368">
        <v>1648359</v>
      </c>
      <c r="L30" s="233">
        <v>437227.69</v>
      </c>
      <c r="N30" s="238" t="s">
        <v>17</v>
      </c>
      <c r="U30">
        <v>4006</v>
      </c>
    </row>
    <row r="31" spans="1:21">
      <c r="A31" s="233">
        <v>30</v>
      </c>
      <c r="B31" s="185">
        <v>127</v>
      </c>
      <c r="C31" s="185" t="s">
        <v>298</v>
      </c>
      <c r="D31" s="185" t="s">
        <v>1877</v>
      </c>
      <c r="E31" s="249" t="s">
        <v>2828</v>
      </c>
      <c r="F31" s="241" t="s">
        <v>1882</v>
      </c>
      <c r="G31" s="233" t="s">
        <v>1883</v>
      </c>
      <c r="H31" s="233" t="s">
        <v>1884</v>
      </c>
      <c r="I31" s="368">
        <v>3053849</v>
      </c>
      <c r="L31" s="233">
        <v>2523687.87</v>
      </c>
      <c r="N31" s="238" t="s">
        <v>17</v>
      </c>
      <c r="U31">
        <v>4006</v>
      </c>
    </row>
    <row r="32" spans="1:21">
      <c r="A32" s="233">
        <v>31</v>
      </c>
      <c r="B32" s="185">
        <v>127</v>
      </c>
      <c r="C32" s="185" t="s">
        <v>298</v>
      </c>
      <c r="D32" s="185" t="s">
        <v>1877</v>
      </c>
      <c r="E32" s="249" t="s">
        <v>2829</v>
      </c>
      <c r="F32" s="241" t="s">
        <v>1879</v>
      </c>
      <c r="G32" s="233" t="s">
        <v>1880</v>
      </c>
      <c r="H32" s="233" t="s">
        <v>1880</v>
      </c>
      <c r="I32" s="368">
        <v>490715</v>
      </c>
      <c r="L32" s="233">
        <v>542420</v>
      </c>
      <c r="N32" s="238" t="s">
        <v>17</v>
      </c>
      <c r="U32">
        <v>4006</v>
      </c>
    </row>
    <row r="33" spans="1:21">
      <c r="A33" s="233">
        <v>32</v>
      </c>
      <c r="B33" s="185">
        <v>127</v>
      </c>
      <c r="C33" s="185" t="s">
        <v>298</v>
      </c>
      <c r="D33" s="185" t="s">
        <v>1877</v>
      </c>
      <c r="E33" s="249" t="s">
        <v>2830</v>
      </c>
      <c r="F33" s="241" t="s">
        <v>2712</v>
      </c>
      <c r="G33" s="233" t="s">
        <v>1881</v>
      </c>
      <c r="H33" s="233" t="s">
        <v>1881</v>
      </c>
      <c r="I33" s="368">
        <v>883407</v>
      </c>
      <c r="L33" s="233">
        <v>978038</v>
      </c>
      <c r="N33" s="238" t="s">
        <v>17</v>
      </c>
      <c r="U33">
        <v>4006</v>
      </c>
    </row>
    <row r="34" spans="1:21">
      <c r="A34" s="233">
        <v>33</v>
      </c>
      <c r="B34" s="185">
        <v>128</v>
      </c>
      <c r="C34" s="185" t="s">
        <v>298</v>
      </c>
      <c r="D34" s="185" t="s">
        <v>440</v>
      </c>
      <c r="E34" s="249" t="s">
        <v>2831</v>
      </c>
      <c r="F34" s="241" t="s">
        <v>1779</v>
      </c>
      <c r="G34" s="233" t="s">
        <v>1995</v>
      </c>
      <c r="H34" s="233" t="s">
        <v>1995</v>
      </c>
      <c r="I34" s="368">
        <v>65282</v>
      </c>
      <c r="L34" s="233">
        <v>133663</v>
      </c>
      <c r="N34" s="238" t="s">
        <v>17</v>
      </c>
      <c r="U34">
        <v>4006</v>
      </c>
    </row>
    <row r="35" spans="1:21">
      <c r="A35" s="233">
        <v>34</v>
      </c>
      <c r="B35" s="185">
        <v>129</v>
      </c>
      <c r="C35" s="185" t="s">
        <v>298</v>
      </c>
      <c r="D35" s="185" t="s">
        <v>2679</v>
      </c>
      <c r="E35" s="249" t="s">
        <v>2832</v>
      </c>
      <c r="F35" s="241" t="s">
        <v>1998</v>
      </c>
      <c r="G35" s="233" t="s">
        <v>394</v>
      </c>
      <c r="H35" s="233" t="s">
        <v>394</v>
      </c>
      <c r="I35" s="369">
        <v>132507</v>
      </c>
      <c r="L35" s="239">
        <v>134325</v>
      </c>
      <c r="N35" s="229" t="s">
        <v>17</v>
      </c>
      <c r="U35">
        <v>4006</v>
      </c>
    </row>
    <row r="36" spans="1:21">
      <c r="A36" s="233">
        <v>35</v>
      </c>
      <c r="B36" s="185">
        <v>131</v>
      </c>
      <c r="C36" s="185" t="s">
        <v>298</v>
      </c>
      <c r="D36" s="185" t="s">
        <v>1975</v>
      </c>
      <c r="E36" s="249" t="s">
        <v>2833</v>
      </c>
      <c r="F36" s="241" t="s">
        <v>1976</v>
      </c>
      <c r="G36" s="233" t="s">
        <v>1977</v>
      </c>
      <c r="H36" s="233" t="s">
        <v>1977</v>
      </c>
      <c r="I36" s="238">
        <v>4928030</v>
      </c>
      <c r="L36" s="229">
        <v>3077585</v>
      </c>
      <c r="N36" s="229" t="s">
        <v>17</v>
      </c>
      <c r="U36">
        <v>4006</v>
      </c>
    </row>
    <row r="37" spans="1:21">
      <c r="A37" s="233">
        <v>36</v>
      </c>
      <c r="B37" s="185">
        <v>130</v>
      </c>
      <c r="C37" s="185" t="s">
        <v>298</v>
      </c>
      <c r="D37" s="185" t="s">
        <v>2677</v>
      </c>
      <c r="E37" s="249" t="s">
        <v>2834</v>
      </c>
      <c r="F37" s="241" t="s">
        <v>1955</v>
      </c>
      <c r="G37" s="233" t="s">
        <v>1956</v>
      </c>
      <c r="H37" s="233" t="s">
        <v>1956</v>
      </c>
      <c r="I37" s="238">
        <v>133024</v>
      </c>
      <c r="L37" s="229">
        <v>157611</v>
      </c>
      <c r="N37" s="229" t="s">
        <v>17</v>
      </c>
      <c r="U37">
        <v>4006</v>
      </c>
    </row>
    <row r="38" spans="1:21">
      <c r="A38" s="233">
        <v>37</v>
      </c>
      <c r="B38" s="185">
        <v>130</v>
      </c>
      <c r="C38" s="185" t="s">
        <v>298</v>
      </c>
      <c r="D38" s="185" t="s">
        <v>2677</v>
      </c>
      <c r="E38" s="249" t="s">
        <v>2835</v>
      </c>
      <c r="F38" s="241" t="s">
        <v>1957</v>
      </c>
      <c r="G38" s="233" t="s">
        <v>383</v>
      </c>
      <c r="H38" s="233" t="s">
        <v>383</v>
      </c>
      <c r="I38" s="238">
        <v>2325219</v>
      </c>
      <c r="L38" s="229">
        <v>2214536.25</v>
      </c>
      <c r="N38" s="229" t="s">
        <v>17</v>
      </c>
      <c r="U38">
        <v>4006</v>
      </c>
    </row>
    <row r="39" spans="1:21">
      <c r="A39" s="233">
        <v>38</v>
      </c>
      <c r="B39" s="185">
        <v>130</v>
      </c>
      <c r="C39" s="185" t="s">
        <v>298</v>
      </c>
      <c r="D39" s="185" t="s">
        <v>2677</v>
      </c>
      <c r="E39" s="249" t="s">
        <v>2836</v>
      </c>
      <c r="F39" s="241" t="s">
        <v>1958</v>
      </c>
      <c r="G39" s="233" t="s">
        <v>1959</v>
      </c>
      <c r="H39" s="233" t="s">
        <v>1960</v>
      </c>
      <c r="I39" s="238">
        <v>200500</v>
      </c>
      <c r="L39" s="229">
        <v>303516</v>
      </c>
      <c r="N39" s="229" t="s">
        <v>17</v>
      </c>
      <c r="U39">
        <v>4006</v>
      </c>
    </row>
    <row r="40" spans="1:21">
      <c r="A40" s="233">
        <v>39</v>
      </c>
      <c r="B40" s="185">
        <v>130</v>
      </c>
      <c r="C40" s="185" t="s">
        <v>298</v>
      </c>
      <c r="D40" s="185" t="s">
        <v>2677</v>
      </c>
      <c r="E40" s="249" t="s">
        <v>2837</v>
      </c>
      <c r="F40" s="241" t="s">
        <v>1961</v>
      </c>
      <c r="G40" s="233" t="s">
        <v>386</v>
      </c>
      <c r="H40" s="233" t="s">
        <v>386</v>
      </c>
      <c r="I40" s="238">
        <v>2825248</v>
      </c>
      <c r="L40" s="229">
        <v>316093.59999999998</v>
      </c>
      <c r="N40" s="229" t="s">
        <v>17</v>
      </c>
      <c r="U40">
        <v>4006</v>
      </c>
    </row>
    <row r="41" spans="1:21">
      <c r="A41" s="233">
        <v>40</v>
      </c>
      <c r="B41" s="185">
        <v>130</v>
      </c>
      <c r="C41" s="185" t="s">
        <v>298</v>
      </c>
      <c r="D41" s="185" t="s">
        <v>2677</v>
      </c>
      <c r="E41" s="249" t="s">
        <v>2838</v>
      </c>
      <c r="F41" s="241" t="s">
        <v>1950</v>
      </c>
      <c r="G41" s="233" t="s">
        <v>1951</v>
      </c>
      <c r="H41" s="233" t="s">
        <v>1951</v>
      </c>
      <c r="I41" s="238">
        <v>1400435</v>
      </c>
      <c r="L41" s="229">
        <v>782904.73</v>
      </c>
      <c r="N41" s="229" t="s">
        <v>17</v>
      </c>
      <c r="U41">
        <v>4006</v>
      </c>
    </row>
    <row r="42" spans="1:21">
      <c r="A42" s="233">
        <v>41</v>
      </c>
      <c r="B42" s="185">
        <v>130</v>
      </c>
      <c r="C42" s="185" t="s">
        <v>298</v>
      </c>
      <c r="D42" s="185" t="s">
        <v>2677</v>
      </c>
      <c r="E42" s="249" t="s">
        <v>2839</v>
      </c>
      <c r="F42" s="241" t="s">
        <v>1952</v>
      </c>
      <c r="G42" s="233" t="s">
        <v>1953</v>
      </c>
      <c r="H42" s="233" t="s">
        <v>1954</v>
      </c>
      <c r="I42" s="238">
        <v>717259</v>
      </c>
      <c r="L42" s="229">
        <v>717259</v>
      </c>
      <c r="N42" s="229" t="s">
        <v>17</v>
      </c>
      <c r="U42">
        <v>4006</v>
      </c>
    </row>
    <row r="43" spans="1:21">
      <c r="A43" s="233">
        <v>42</v>
      </c>
      <c r="B43" s="185">
        <v>132</v>
      </c>
      <c r="C43" s="185" t="s">
        <v>298</v>
      </c>
      <c r="D43" s="185" t="s">
        <v>389</v>
      </c>
      <c r="E43" s="249" t="s">
        <v>2840</v>
      </c>
      <c r="F43" s="241" t="s">
        <v>1963</v>
      </c>
      <c r="G43" s="233" t="s">
        <v>1964</v>
      </c>
      <c r="H43" s="233" t="s">
        <v>1964</v>
      </c>
      <c r="I43" s="238">
        <v>493748</v>
      </c>
      <c r="L43" s="229">
        <v>422451.53</v>
      </c>
      <c r="N43" s="229" t="s">
        <v>17</v>
      </c>
      <c r="U43">
        <v>4006</v>
      </c>
    </row>
    <row r="44" spans="1:21">
      <c r="A44" s="233">
        <v>43</v>
      </c>
      <c r="B44" s="185">
        <v>133</v>
      </c>
      <c r="C44" s="185" t="s">
        <v>298</v>
      </c>
      <c r="D44" s="185" t="s">
        <v>2659</v>
      </c>
      <c r="E44" s="249" t="s">
        <v>2841</v>
      </c>
      <c r="F44" s="241" t="s">
        <v>2002</v>
      </c>
      <c r="G44" s="233" t="s">
        <v>2003</v>
      </c>
      <c r="H44" s="233" t="s">
        <v>2003</v>
      </c>
      <c r="I44" s="238">
        <v>16009161</v>
      </c>
      <c r="L44" s="229">
        <v>31376995</v>
      </c>
      <c r="N44" s="229" t="s">
        <v>17</v>
      </c>
      <c r="U44">
        <v>4006</v>
      </c>
    </row>
    <row r="45" spans="1:21">
      <c r="A45" s="233">
        <v>44</v>
      </c>
      <c r="B45" s="185">
        <v>134</v>
      </c>
      <c r="C45" s="185" t="s">
        <v>298</v>
      </c>
      <c r="D45" s="185" t="s">
        <v>395</v>
      </c>
      <c r="E45" s="249" t="s">
        <v>2842</v>
      </c>
      <c r="F45" s="241" t="s">
        <v>1996</v>
      </c>
      <c r="G45" s="233" t="s">
        <v>1997</v>
      </c>
      <c r="H45" s="233" t="s">
        <v>1997</v>
      </c>
      <c r="I45" s="238">
        <v>1692223</v>
      </c>
      <c r="L45" s="229">
        <v>2958098</v>
      </c>
      <c r="N45" s="229" t="s">
        <v>17</v>
      </c>
      <c r="U45">
        <v>4006</v>
      </c>
    </row>
    <row r="46" spans="1:21">
      <c r="A46" s="233">
        <v>45</v>
      </c>
      <c r="B46" s="185">
        <v>138</v>
      </c>
      <c r="C46" s="185" t="s">
        <v>298</v>
      </c>
      <c r="D46" s="185" t="s">
        <v>352</v>
      </c>
      <c r="E46" s="249" t="s">
        <v>2843</v>
      </c>
      <c r="F46" s="241" t="s">
        <v>2025</v>
      </c>
      <c r="G46" s="233" t="s">
        <v>2026</v>
      </c>
      <c r="H46" s="233" t="s">
        <v>2026</v>
      </c>
      <c r="I46" s="238">
        <v>16525277</v>
      </c>
      <c r="L46" s="229">
        <v>1</v>
      </c>
      <c r="N46" s="229" t="s">
        <v>17</v>
      </c>
      <c r="U46">
        <v>4006</v>
      </c>
    </row>
    <row r="47" spans="1:21">
      <c r="A47" s="233">
        <v>46</v>
      </c>
      <c r="B47" s="185">
        <v>139</v>
      </c>
      <c r="C47" s="185" t="s">
        <v>298</v>
      </c>
      <c r="D47" s="185" t="s">
        <v>397</v>
      </c>
      <c r="E47" s="249" t="s">
        <v>2844</v>
      </c>
      <c r="F47" s="241" t="s">
        <v>2029</v>
      </c>
      <c r="G47" s="233" t="s">
        <v>2030</v>
      </c>
      <c r="H47" s="233" t="s">
        <v>2030</v>
      </c>
      <c r="I47" s="238">
        <v>464864</v>
      </c>
      <c r="L47" s="229">
        <v>1058652.18</v>
      </c>
      <c r="N47" s="229" t="s">
        <v>17</v>
      </c>
      <c r="U47">
        <v>4006</v>
      </c>
    </row>
    <row r="48" spans="1:21">
      <c r="A48" s="233">
        <v>47</v>
      </c>
      <c r="B48" s="185">
        <v>139</v>
      </c>
      <c r="C48" s="185" t="s">
        <v>298</v>
      </c>
      <c r="D48" s="185" t="s">
        <v>397</v>
      </c>
      <c r="E48" s="249" t="s">
        <v>2845</v>
      </c>
      <c r="F48" s="241" t="s">
        <v>2027</v>
      </c>
      <c r="G48" s="233" t="s">
        <v>2028</v>
      </c>
      <c r="H48" s="233" t="s">
        <v>2028</v>
      </c>
      <c r="I48" s="238">
        <v>334570</v>
      </c>
      <c r="L48" s="229">
        <v>346018.39</v>
      </c>
      <c r="N48" s="229" t="s">
        <v>17</v>
      </c>
      <c r="U48">
        <v>4006</v>
      </c>
    </row>
    <row r="49" spans="1:21">
      <c r="A49" s="233">
        <v>48</v>
      </c>
      <c r="B49" s="185">
        <v>140</v>
      </c>
      <c r="C49" s="185" t="s">
        <v>298</v>
      </c>
      <c r="D49" s="185" t="s">
        <v>358</v>
      </c>
      <c r="E49" s="249" t="s">
        <v>2846</v>
      </c>
      <c r="F49" s="241" t="s">
        <v>2043</v>
      </c>
      <c r="G49" s="233" t="s">
        <v>360</v>
      </c>
      <c r="H49" s="233" t="s">
        <v>360</v>
      </c>
      <c r="I49" s="238">
        <v>2769155</v>
      </c>
      <c r="L49" s="229">
        <v>1</v>
      </c>
      <c r="N49" s="229" t="s">
        <v>17</v>
      </c>
      <c r="U49">
        <v>4006</v>
      </c>
    </row>
    <row r="50" spans="1:21">
      <c r="A50" s="233">
        <v>49</v>
      </c>
      <c r="B50" s="185">
        <v>141</v>
      </c>
      <c r="C50" s="185" t="s">
        <v>298</v>
      </c>
      <c r="D50" s="185" t="s">
        <v>402</v>
      </c>
      <c r="E50" s="249" t="s">
        <v>2847</v>
      </c>
      <c r="F50" s="241" t="s">
        <v>2044</v>
      </c>
      <c r="G50" s="233" t="s">
        <v>2045</v>
      </c>
      <c r="H50" s="233" t="s">
        <v>2045</v>
      </c>
      <c r="I50" s="238">
        <v>152391</v>
      </c>
      <c r="L50" s="229">
        <v>158476.10999999999</v>
      </c>
      <c r="N50" s="229" t="s">
        <v>17</v>
      </c>
      <c r="U50">
        <v>4006</v>
      </c>
    </row>
    <row r="51" spans="1:21">
      <c r="A51" s="233">
        <v>50</v>
      </c>
      <c r="B51" s="185">
        <v>142</v>
      </c>
      <c r="C51" s="185" t="s">
        <v>298</v>
      </c>
      <c r="D51" s="185" t="s">
        <v>442</v>
      </c>
      <c r="E51" s="249" t="s">
        <v>2848</v>
      </c>
      <c r="F51" s="241" t="s">
        <v>1970</v>
      </c>
      <c r="G51" s="233" t="s">
        <v>1971</v>
      </c>
      <c r="H51" s="233" t="s">
        <v>1971</v>
      </c>
      <c r="I51" s="238">
        <v>1702360</v>
      </c>
      <c r="L51" s="229">
        <v>600582.25</v>
      </c>
      <c r="N51" s="229" t="s">
        <v>17</v>
      </c>
      <c r="U51">
        <v>4006</v>
      </c>
    </row>
    <row r="52" spans="1:21">
      <c r="A52" s="233">
        <v>51</v>
      </c>
      <c r="B52" s="185">
        <v>142</v>
      </c>
      <c r="C52" s="185" t="s">
        <v>298</v>
      </c>
      <c r="D52" s="185" t="s">
        <v>442</v>
      </c>
      <c r="E52" s="249" t="s">
        <v>2849</v>
      </c>
      <c r="F52" s="241" t="s">
        <v>1972</v>
      </c>
      <c r="G52" s="233" t="s">
        <v>1971</v>
      </c>
      <c r="H52" s="233" t="s">
        <v>1971</v>
      </c>
      <c r="I52" s="238">
        <v>7359350</v>
      </c>
      <c r="L52" s="229">
        <v>11879364</v>
      </c>
      <c r="N52" s="229" t="s">
        <v>17</v>
      </c>
      <c r="U52">
        <v>4006</v>
      </c>
    </row>
    <row r="53" spans="1:21">
      <c r="A53" s="233">
        <v>52</v>
      </c>
      <c r="B53" s="185">
        <v>142</v>
      </c>
      <c r="C53" s="185" t="s">
        <v>298</v>
      </c>
      <c r="D53" s="185" t="s">
        <v>442</v>
      </c>
      <c r="E53" s="249" t="s">
        <v>2850</v>
      </c>
      <c r="F53" s="241" t="s">
        <v>1973</v>
      </c>
      <c r="G53" s="233" t="s">
        <v>1971</v>
      </c>
      <c r="H53" s="233" t="s">
        <v>1971</v>
      </c>
      <c r="I53" s="238">
        <v>2828513</v>
      </c>
      <c r="L53" s="229">
        <v>4554506</v>
      </c>
      <c r="N53" s="229" t="s">
        <v>17</v>
      </c>
      <c r="U53">
        <v>4006</v>
      </c>
    </row>
    <row r="54" spans="1:21">
      <c r="A54" s="233">
        <v>53</v>
      </c>
      <c r="B54" s="185">
        <v>142</v>
      </c>
      <c r="C54" s="185" t="s">
        <v>298</v>
      </c>
      <c r="D54" s="185" t="s">
        <v>442</v>
      </c>
      <c r="E54" s="249" t="s">
        <v>2851</v>
      </c>
      <c r="F54" s="241" t="s">
        <v>1974</v>
      </c>
      <c r="G54" s="233" t="s">
        <v>1971</v>
      </c>
      <c r="H54" s="233" t="s">
        <v>1971</v>
      </c>
      <c r="I54" s="238">
        <v>4320376</v>
      </c>
      <c r="L54" s="229">
        <v>6956783</v>
      </c>
      <c r="N54" s="229" t="s">
        <v>17</v>
      </c>
      <c r="U54">
        <v>4006</v>
      </c>
    </row>
    <row r="55" spans="1:21">
      <c r="A55" s="233">
        <v>54</v>
      </c>
      <c r="B55" s="185">
        <v>143</v>
      </c>
      <c r="C55" s="185" t="s">
        <v>298</v>
      </c>
      <c r="D55" s="185" t="s">
        <v>2660</v>
      </c>
      <c r="E55" s="249" t="s">
        <v>2852</v>
      </c>
      <c r="F55" s="241" t="s">
        <v>1923</v>
      </c>
      <c r="G55" s="233" t="s">
        <v>1924</v>
      </c>
      <c r="H55" s="233" t="s">
        <v>1925</v>
      </c>
      <c r="I55" s="238">
        <v>23214200</v>
      </c>
      <c r="L55" s="229">
        <v>44279422</v>
      </c>
      <c r="N55" s="229" t="s">
        <v>17</v>
      </c>
      <c r="U55">
        <v>4006</v>
      </c>
    </row>
    <row r="56" spans="1:21">
      <c r="A56" s="233">
        <v>55</v>
      </c>
      <c r="B56" s="185">
        <v>143</v>
      </c>
      <c r="C56" s="185" t="s">
        <v>2533</v>
      </c>
      <c r="D56" s="185" t="s">
        <v>2660</v>
      </c>
      <c r="E56" s="249" t="s">
        <v>2853</v>
      </c>
      <c r="F56" s="241" t="s">
        <v>1928</v>
      </c>
      <c r="G56" s="233" t="s">
        <v>1929</v>
      </c>
      <c r="H56" s="233" t="s">
        <v>1925</v>
      </c>
      <c r="I56" s="238">
        <v>19653350</v>
      </c>
      <c r="L56" s="229">
        <v>32088849</v>
      </c>
      <c r="N56" s="229" t="s">
        <v>17</v>
      </c>
      <c r="U56">
        <v>4006</v>
      </c>
    </row>
    <row r="57" spans="1:21">
      <c r="A57" s="233">
        <v>56</v>
      </c>
      <c r="B57" s="185">
        <v>143</v>
      </c>
      <c r="C57" s="185" t="s">
        <v>298</v>
      </c>
      <c r="D57" s="185" t="s">
        <v>2660</v>
      </c>
      <c r="E57" s="249" t="s">
        <v>2854</v>
      </c>
      <c r="F57" s="241" t="s">
        <v>1926</v>
      </c>
      <c r="G57" s="233" t="s">
        <v>1927</v>
      </c>
      <c r="H57" s="233" t="s">
        <v>1925</v>
      </c>
      <c r="I57" s="238">
        <v>5243565</v>
      </c>
      <c r="L57" s="229">
        <v>9093804</v>
      </c>
      <c r="N57" s="229" t="s">
        <v>17</v>
      </c>
      <c r="U57">
        <v>4006</v>
      </c>
    </row>
    <row r="58" spans="1:21">
      <c r="A58" s="233">
        <v>57</v>
      </c>
      <c r="B58" s="185">
        <v>90</v>
      </c>
      <c r="C58" s="185" t="s">
        <v>3020</v>
      </c>
      <c r="D58" s="185" t="s">
        <v>26</v>
      </c>
      <c r="E58" s="249" t="s">
        <v>3103</v>
      </c>
      <c r="F58" s="241" t="s">
        <v>2015</v>
      </c>
      <c r="G58" s="233" t="s">
        <v>2016</v>
      </c>
      <c r="H58" s="233" t="s">
        <v>2016</v>
      </c>
      <c r="I58" s="238">
        <v>180318659</v>
      </c>
      <c r="L58" s="229">
        <v>56854251.939999998</v>
      </c>
      <c r="N58" s="229" t="s">
        <v>17</v>
      </c>
      <c r="U58">
        <v>4006</v>
      </c>
    </row>
    <row r="59" spans="1:21">
      <c r="A59" s="233">
        <v>58</v>
      </c>
      <c r="B59" s="185">
        <v>144</v>
      </c>
      <c r="C59" s="185" t="s">
        <v>298</v>
      </c>
      <c r="D59" s="185" t="s">
        <v>472</v>
      </c>
      <c r="E59" s="249" t="s">
        <v>2855</v>
      </c>
      <c r="F59" s="241" t="s">
        <v>1756</v>
      </c>
      <c r="G59" s="233" t="s">
        <v>1757</v>
      </c>
      <c r="H59" s="233" t="s">
        <v>1758</v>
      </c>
      <c r="I59" s="238">
        <v>4058358</v>
      </c>
      <c r="L59" s="229">
        <v>882090</v>
      </c>
      <c r="N59" s="229" t="s">
        <v>17</v>
      </c>
      <c r="U59">
        <v>4006</v>
      </c>
    </row>
    <row r="60" spans="1:21">
      <c r="A60" s="233">
        <v>59</v>
      </c>
      <c r="B60" s="185">
        <v>144</v>
      </c>
      <c r="C60" s="185" t="s">
        <v>298</v>
      </c>
      <c r="D60" s="185" t="s">
        <v>472</v>
      </c>
      <c r="E60" s="249" t="s">
        <v>2856</v>
      </c>
      <c r="F60" s="241" t="s">
        <v>1753</v>
      </c>
      <c r="G60" s="233" t="s">
        <v>1754</v>
      </c>
      <c r="H60" s="233" t="s">
        <v>1755</v>
      </c>
      <c r="I60" s="238">
        <v>5852687</v>
      </c>
      <c r="L60" s="229">
        <v>3649711</v>
      </c>
      <c r="N60" s="229" t="s">
        <v>17</v>
      </c>
      <c r="U60">
        <v>4006</v>
      </c>
    </row>
    <row r="61" spans="1:21">
      <c r="A61" s="233">
        <v>60</v>
      </c>
      <c r="B61" s="185">
        <v>145</v>
      </c>
      <c r="C61" s="185" t="s">
        <v>298</v>
      </c>
      <c r="D61" s="185" t="s">
        <v>477</v>
      </c>
      <c r="E61" s="249" t="s">
        <v>2857</v>
      </c>
      <c r="F61" s="241" t="s">
        <v>1901</v>
      </c>
      <c r="G61" s="233" t="s">
        <v>1902</v>
      </c>
      <c r="H61" s="233" t="s">
        <v>1903</v>
      </c>
      <c r="I61" s="238">
        <v>7852140</v>
      </c>
      <c r="L61" s="229">
        <v>9924532</v>
      </c>
      <c r="N61" s="229" t="s">
        <v>17</v>
      </c>
      <c r="U61">
        <v>4006</v>
      </c>
    </row>
    <row r="62" spans="1:21">
      <c r="A62" s="233">
        <v>61</v>
      </c>
      <c r="B62" s="185">
        <v>145</v>
      </c>
      <c r="C62" s="185" t="s">
        <v>298</v>
      </c>
      <c r="D62" s="185" t="s">
        <v>477</v>
      </c>
      <c r="E62" s="249" t="s">
        <v>2858</v>
      </c>
      <c r="F62" s="241" t="s">
        <v>1898</v>
      </c>
      <c r="G62" s="233" t="s">
        <v>1899</v>
      </c>
      <c r="H62" s="233" t="s">
        <v>1900</v>
      </c>
      <c r="I62" s="238">
        <v>981776</v>
      </c>
      <c r="L62" s="229">
        <v>1194042</v>
      </c>
      <c r="N62" s="229" t="s">
        <v>17</v>
      </c>
      <c r="U62">
        <v>4006</v>
      </c>
    </row>
    <row r="63" spans="1:21">
      <c r="A63" s="233">
        <v>62</v>
      </c>
      <c r="B63" s="185">
        <v>63</v>
      </c>
      <c r="C63" s="185" t="s">
        <v>3020</v>
      </c>
      <c r="D63" s="185" t="s">
        <v>1425</v>
      </c>
      <c r="E63" s="249" t="s">
        <v>3104</v>
      </c>
      <c r="F63" s="241" t="s">
        <v>1802</v>
      </c>
      <c r="G63" s="233" t="s">
        <v>1803</v>
      </c>
      <c r="H63" s="233" t="s">
        <v>1803</v>
      </c>
      <c r="I63" s="238">
        <v>12987406</v>
      </c>
      <c r="L63" s="229">
        <v>9373810</v>
      </c>
      <c r="N63" s="229" t="s">
        <v>17</v>
      </c>
      <c r="U63">
        <v>4006</v>
      </c>
    </row>
    <row r="64" spans="1:21">
      <c r="A64" s="233">
        <v>63</v>
      </c>
      <c r="B64" s="185">
        <v>88</v>
      </c>
      <c r="C64" s="185" t="s">
        <v>298</v>
      </c>
      <c r="D64" s="185" t="s">
        <v>1688</v>
      </c>
      <c r="E64" s="249" t="s">
        <v>2859</v>
      </c>
      <c r="F64" s="241" t="s">
        <v>2012</v>
      </c>
      <c r="G64" s="233" t="s">
        <v>2013</v>
      </c>
      <c r="H64" s="233" t="s">
        <v>2014</v>
      </c>
      <c r="I64" s="238">
        <v>685852</v>
      </c>
      <c r="L64" s="229">
        <v>982167</v>
      </c>
      <c r="N64" s="229" t="s">
        <v>17</v>
      </c>
      <c r="U64">
        <v>4006</v>
      </c>
    </row>
    <row r="65" spans="1:21">
      <c r="A65" s="233">
        <v>64</v>
      </c>
      <c r="B65" s="185">
        <v>98</v>
      </c>
      <c r="C65" s="185" t="s">
        <v>298</v>
      </c>
      <c r="D65" s="185" t="s">
        <v>1691</v>
      </c>
      <c r="E65" s="249" t="s">
        <v>2860</v>
      </c>
      <c r="F65" s="241" t="s">
        <v>2054</v>
      </c>
      <c r="G65" s="233" t="s">
        <v>2055</v>
      </c>
      <c r="H65" s="233" t="s">
        <v>2055</v>
      </c>
      <c r="I65" s="238">
        <v>24851035</v>
      </c>
      <c r="L65" s="229">
        <v>5199211.5999999996</v>
      </c>
      <c r="N65" s="229" t="s">
        <v>17</v>
      </c>
      <c r="U65">
        <v>4006</v>
      </c>
    </row>
    <row r="66" spans="1:21">
      <c r="A66" s="233">
        <v>65</v>
      </c>
      <c r="B66" s="185">
        <v>98</v>
      </c>
      <c r="C66" s="185" t="s">
        <v>298</v>
      </c>
      <c r="D66" s="185" t="s">
        <v>1691</v>
      </c>
      <c r="E66" s="249" t="s">
        <v>2861</v>
      </c>
      <c r="F66" s="241" t="s">
        <v>2050</v>
      </c>
      <c r="G66" s="233" t="s">
        <v>2051</v>
      </c>
      <c r="H66" s="233" t="s">
        <v>2051</v>
      </c>
      <c r="I66" s="238">
        <v>39098333</v>
      </c>
      <c r="L66" s="229">
        <v>43504031</v>
      </c>
      <c r="N66" s="229" t="s">
        <v>17</v>
      </c>
      <c r="U66">
        <v>4006</v>
      </c>
    </row>
    <row r="67" spans="1:21">
      <c r="A67" s="233">
        <v>66</v>
      </c>
      <c r="B67" s="185">
        <v>54</v>
      </c>
      <c r="C67" s="185" t="s">
        <v>3020</v>
      </c>
      <c r="D67" s="185" t="s">
        <v>1582</v>
      </c>
      <c r="E67" s="249" t="s">
        <v>3105</v>
      </c>
      <c r="F67" s="241" t="s">
        <v>1744</v>
      </c>
      <c r="G67" s="233" t="s">
        <v>1745</v>
      </c>
      <c r="H67" s="233" t="s">
        <v>1743</v>
      </c>
      <c r="I67" s="238">
        <v>1091718171</v>
      </c>
      <c r="L67" s="229">
        <v>1098861368</v>
      </c>
      <c r="N67" s="229" t="s">
        <v>17</v>
      </c>
      <c r="U67">
        <v>4006</v>
      </c>
    </row>
    <row r="68" spans="1:21">
      <c r="A68" s="233">
        <v>67</v>
      </c>
      <c r="B68" s="185">
        <v>98</v>
      </c>
      <c r="C68" s="185" t="s">
        <v>298</v>
      </c>
      <c r="D68" s="185" t="s">
        <v>1691</v>
      </c>
      <c r="E68" s="249" t="s">
        <v>2862</v>
      </c>
      <c r="F68" s="241" t="s">
        <v>2052</v>
      </c>
      <c r="G68" s="233" t="s">
        <v>2053</v>
      </c>
      <c r="H68" s="233" t="s">
        <v>2053</v>
      </c>
      <c r="I68" s="238">
        <v>48442866</v>
      </c>
      <c r="L68" s="229">
        <v>41656889</v>
      </c>
      <c r="N68" s="229" t="s">
        <v>17</v>
      </c>
      <c r="U68">
        <v>4006</v>
      </c>
    </row>
    <row r="69" spans="1:21">
      <c r="A69" s="233">
        <v>68</v>
      </c>
      <c r="B69" s="185">
        <v>54</v>
      </c>
      <c r="C69" s="185" t="s">
        <v>298</v>
      </c>
      <c r="D69" s="185" t="s">
        <v>1582</v>
      </c>
      <c r="E69" s="249" t="s">
        <v>2863</v>
      </c>
      <c r="F69" s="241" t="s">
        <v>1741</v>
      </c>
      <c r="G69" s="233" t="s">
        <v>1742</v>
      </c>
      <c r="H69" s="233" t="s">
        <v>1743</v>
      </c>
      <c r="I69" s="238">
        <v>894607482</v>
      </c>
      <c r="L69" s="229">
        <v>697900233</v>
      </c>
      <c r="N69" s="229" t="s">
        <v>17</v>
      </c>
      <c r="U69">
        <v>4006</v>
      </c>
    </row>
    <row r="70" spans="1:21">
      <c r="A70" s="233">
        <v>69</v>
      </c>
      <c r="B70" s="185">
        <v>73</v>
      </c>
      <c r="C70" s="185" t="s">
        <v>2533</v>
      </c>
      <c r="D70" s="185" t="s">
        <v>1427</v>
      </c>
      <c r="E70" s="249" t="s">
        <v>2864</v>
      </c>
      <c r="F70" s="241" t="s">
        <v>1835</v>
      </c>
      <c r="G70" s="233" t="s">
        <v>1836</v>
      </c>
      <c r="H70" s="233" t="s">
        <v>1836</v>
      </c>
      <c r="I70" s="238">
        <v>44181258</v>
      </c>
      <c r="L70" s="229">
        <v>11915017</v>
      </c>
      <c r="N70" s="229" t="s">
        <v>17</v>
      </c>
      <c r="U70">
        <v>4006</v>
      </c>
    </row>
    <row r="71" spans="1:21">
      <c r="A71" s="233">
        <v>70</v>
      </c>
      <c r="B71" s="185">
        <v>98</v>
      </c>
      <c r="C71" s="185" t="s">
        <v>298</v>
      </c>
      <c r="D71" s="185" t="s">
        <v>1691</v>
      </c>
      <c r="E71" s="249" t="s">
        <v>2865</v>
      </c>
      <c r="F71" s="241" t="s">
        <v>3028</v>
      </c>
      <c r="G71" s="233" t="s">
        <v>2056</v>
      </c>
      <c r="H71" s="233" t="s">
        <v>2056</v>
      </c>
      <c r="I71" s="238">
        <v>120523148</v>
      </c>
      <c r="L71" s="229">
        <v>108858105</v>
      </c>
      <c r="N71" s="229" t="s">
        <v>17</v>
      </c>
      <c r="U71">
        <v>4006</v>
      </c>
    </row>
    <row r="72" spans="1:21">
      <c r="A72" s="233">
        <v>71</v>
      </c>
      <c r="B72" s="185">
        <v>86</v>
      </c>
      <c r="C72" s="185" t="s">
        <v>298</v>
      </c>
      <c r="D72" s="185" t="s">
        <v>1436</v>
      </c>
      <c r="E72" s="249" t="s">
        <v>2866</v>
      </c>
      <c r="F72" s="241" t="s">
        <v>2707</v>
      </c>
      <c r="G72" s="233" t="s">
        <v>1983</v>
      </c>
      <c r="H72" s="233" t="s">
        <v>1983</v>
      </c>
      <c r="I72" s="238">
        <v>35800000</v>
      </c>
      <c r="L72" s="229">
        <v>18196863.579999998</v>
      </c>
      <c r="N72" s="229" t="s">
        <v>17</v>
      </c>
      <c r="U72">
        <v>4006</v>
      </c>
    </row>
    <row r="73" spans="1:21">
      <c r="A73" s="233">
        <v>72</v>
      </c>
      <c r="B73" s="185">
        <v>146</v>
      </c>
      <c r="C73" s="185"/>
      <c r="D73" s="185" t="s">
        <v>659</v>
      </c>
      <c r="E73" s="249" t="s">
        <v>2867</v>
      </c>
      <c r="F73" s="241" t="s">
        <v>2706</v>
      </c>
      <c r="G73" s="233" t="s">
        <v>1818</v>
      </c>
      <c r="H73" s="233" t="s">
        <v>1818</v>
      </c>
      <c r="I73" s="238">
        <v>124900000</v>
      </c>
      <c r="L73" s="229">
        <v>114488413.41</v>
      </c>
      <c r="N73" s="229" t="s">
        <v>17</v>
      </c>
      <c r="U73">
        <v>4006</v>
      </c>
    </row>
    <row r="74" spans="1:21">
      <c r="A74" s="233">
        <v>73</v>
      </c>
      <c r="B74" s="185">
        <v>86</v>
      </c>
      <c r="C74" s="185" t="s">
        <v>3020</v>
      </c>
      <c r="D74" s="185" t="s">
        <v>1436</v>
      </c>
      <c r="E74" s="249" t="s">
        <v>3106</v>
      </c>
      <c r="F74" s="241" t="s">
        <v>1984</v>
      </c>
      <c r="G74" s="233" t="s">
        <v>1985</v>
      </c>
      <c r="H74" s="233" t="s">
        <v>1986</v>
      </c>
      <c r="I74" s="238">
        <v>21866000</v>
      </c>
      <c r="L74" s="229">
        <v>24432000</v>
      </c>
      <c r="N74" s="229" t="s">
        <v>17</v>
      </c>
      <c r="U74">
        <v>4006</v>
      </c>
    </row>
    <row r="75" spans="1:21">
      <c r="A75" s="233">
        <v>74</v>
      </c>
      <c r="B75" s="185">
        <v>73</v>
      </c>
      <c r="C75" s="185" t="s">
        <v>2533</v>
      </c>
      <c r="D75" s="185" t="s">
        <v>1427</v>
      </c>
      <c r="E75" s="249" t="s">
        <v>2868</v>
      </c>
      <c r="F75" s="241" t="s">
        <v>1833</v>
      </c>
      <c r="G75" s="233" t="s">
        <v>1834</v>
      </c>
      <c r="H75" s="233" t="s">
        <v>1834</v>
      </c>
      <c r="I75" s="238">
        <v>30103211</v>
      </c>
      <c r="L75" s="229">
        <v>28958052</v>
      </c>
      <c r="N75" s="229" t="s">
        <v>17</v>
      </c>
      <c r="U75">
        <v>4006</v>
      </c>
    </row>
    <row r="76" spans="1:21">
      <c r="A76" s="233">
        <v>75</v>
      </c>
      <c r="B76" s="185">
        <v>98</v>
      </c>
      <c r="C76" s="185" t="s">
        <v>298</v>
      </c>
      <c r="D76" s="185" t="s">
        <v>1691</v>
      </c>
      <c r="E76" s="249" t="s">
        <v>2869</v>
      </c>
      <c r="F76" s="241" t="s">
        <v>2058</v>
      </c>
      <c r="G76" s="233" t="s">
        <v>2059</v>
      </c>
      <c r="H76" s="233" t="s">
        <v>2059</v>
      </c>
      <c r="I76" s="238">
        <v>18120069</v>
      </c>
      <c r="L76" s="229">
        <v>11837281.1</v>
      </c>
      <c r="N76" s="229" t="s">
        <v>17</v>
      </c>
      <c r="U76">
        <v>4006</v>
      </c>
    </row>
    <row r="77" spans="1:21">
      <c r="A77" s="233">
        <v>76</v>
      </c>
      <c r="B77" s="185">
        <v>73</v>
      </c>
      <c r="C77" s="185" t="s">
        <v>298</v>
      </c>
      <c r="D77" s="185" t="s">
        <v>1427</v>
      </c>
      <c r="E77" s="249" t="s">
        <v>2870</v>
      </c>
      <c r="F77" s="241" t="s">
        <v>1837</v>
      </c>
      <c r="G77" s="233" t="s">
        <v>1838</v>
      </c>
      <c r="H77" s="233" t="s">
        <v>1838</v>
      </c>
      <c r="I77" s="238">
        <v>39003751</v>
      </c>
      <c r="L77" s="229">
        <v>49475775</v>
      </c>
      <c r="N77" s="229" t="s">
        <v>17</v>
      </c>
      <c r="U77">
        <v>4006</v>
      </c>
    </row>
    <row r="78" spans="1:21">
      <c r="A78" s="233">
        <v>77</v>
      </c>
      <c r="B78" s="185">
        <v>86</v>
      </c>
      <c r="C78" s="185" t="s">
        <v>3020</v>
      </c>
      <c r="D78" s="185" t="s">
        <v>1436</v>
      </c>
      <c r="E78" s="249" t="s">
        <v>3107</v>
      </c>
      <c r="F78" s="241" t="s">
        <v>1989</v>
      </c>
      <c r="G78" s="233" t="s">
        <v>1990</v>
      </c>
      <c r="H78" s="233" t="s">
        <v>1990</v>
      </c>
      <c r="I78" s="238">
        <v>34868700</v>
      </c>
      <c r="L78" s="229">
        <v>35803260</v>
      </c>
      <c r="N78" s="229" t="s">
        <v>17</v>
      </c>
      <c r="U78">
        <v>4006</v>
      </c>
    </row>
    <row r="79" spans="1:21">
      <c r="A79" s="233">
        <v>78</v>
      </c>
      <c r="B79" s="185">
        <v>146</v>
      </c>
      <c r="C79" s="185" t="s">
        <v>2533</v>
      </c>
      <c r="D79" s="185" t="s">
        <v>659</v>
      </c>
      <c r="E79" s="249" t="s">
        <v>2871</v>
      </c>
      <c r="F79" s="241" t="s">
        <v>1809</v>
      </c>
      <c r="G79" s="233" t="s">
        <v>1810</v>
      </c>
      <c r="H79" s="233" t="s">
        <v>1810</v>
      </c>
      <c r="I79" s="238">
        <v>8483218</v>
      </c>
      <c r="L79" s="229">
        <v>10783162.1</v>
      </c>
      <c r="N79" s="229" t="s">
        <v>17</v>
      </c>
      <c r="U79">
        <v>4006</v>
      </c>
    </row>
    <row r="80" spans="1:21">
      <c r="A80" s="233">
        <v>79</v>
      </c>
      <c r="B80" s="185">
        <v>83</v>
      </c>
      <c r="C80" s="185" t="s">
        <v>3020</v>
      </c>
      <c r="D80" s="185" t="s">
        <v>2661</v>
      </c>
      <c r="E80" s="249" t="s">
        <v>3108</v>
      </c>
      <c r="F80" s="241" t="s">
        <v>1948</v>
      </c>
      <c r="G80" s="233" t="s">
        <v>1949</v>
      </c>
      <c r="H80" s="233" t="s">
        <v>1949</v>
      </c>
      <c r="I80" s="238">
        <v>46314965</v>
      </c>
      <c r="L80" s="229">
        <v>69199370.510000005</v>
      </c>
      <c r="N80" s="229" t="s">
        <v>17</v>
      </c>
      <c r="U80">
        <v>4006</v>
      </c>
    </row>
    <row r="81" spans="1:21">
      <c r="A81" s="233">
        <v>80</v>
      </c>
      <c r="B81" s="185">
        <v>73</v>
      </c>
      <c r="C81" s="185" t="s">
        <v>3020</v>
      </c>
      <c r="D81" s="185" t="s">
        <v>1427</v>
      </c>
      <c r="E81" s="249" t="s">
        <v>3109</v>
      </c>
      <c r="F81" s="241" t="s">
        <v>1841</v>
      </c>
      <c r="G81" s="233" t="s">
        <v>1842</v>
      </c>
      <c r="H81" s="233" t="s">
        <v>1842</v>
      </c>
      <c r="I81" s="238">
        <v>152800000</v>
      </c>
      <c r="L81" s="229">
        <v>199146108</v>
      </c>
      <c r="N81" s="229" t="s">
        <v>17</v>
      </c>
      <c r="U81">
        <v>4006</v>
      </c>
    </row>
    <row r="82" spans="1:21">
      <c r="A82" s="233">
        <v>81</v>
      </c>
      <c r="B82" s="185">
        <v>73</v>
      </c>
      <c r="C82" s="185" t="s">
        <v>2533</v>
      </c>
      <c r="D82" s="185" t="s">
        <v>1427</v>
      </c>
      <c r="E82" s="249" t="s">
        <v>2872</v>
      </c>
      <c r="F82" s="241" t="s">
        <v>1839</v>
      </c>
      <c r="G82" s="233" t="s">
        <v>1840</v>
      </c>
      <c r="H82" s="233" t="s">
        <v>1840</v>
      </c>
      <c r="I82" s="238">
        <v>74362814</v>
      </c>
      <c r="L82" s="229">
        <v>97585676</v>
      </c>
      <c r="N82" s="229" t="s">
        <v>17</v>
      </c>
      <c r="U82">
        <v>4006</v>
      </c>
    </row>
    <row r="83" spans="1:21">
      <c r="A83" s="233">
        <v>82</v>
      </c>
      <c r="B83" s="185">
        <v>86</v>
      </c>
      <c r="C83" s="185" t="s">
        <v>2533</v>
      </c>
      <c r="D83" s="185" t="s">
        <v>1436</v>
      </c>
      <c r="E83" s="249" t="s">
        <v>2873</v>
      </c>
      <c r="F83" s="241" t="s">
        <v>1994</v>
      </c>
      <c r="G83" s="233" t="s">
        <v>1840</v>
      </c>
      <c r="H83" s="233" t="s">
        <v>1840</v>
      </c>
      <c r="I83" s="238">
        <v>45053848</v>
      </c>
      <c r="L83" s="229">
        <v>50092282</v>
      </c>
      <c r="N83" s="229" t="s">
        <v>17</v>
      </c>
      <c r="U83">
        <v>4006</v>
      </c>
    </row>
    <row r="84" spans="1:21">
      <c r="A84" s="233">
        <v>83</v>
      </c>
      <c r="B84" s="185">
        <v>147</v>
      </c>
      <c r="C84" s="185" t="s">
        <v>298</v>
      </c>
      <c r="D84" s="185" t="s">
        <v>1936</v>
      </c>
      <c r="E84" s="249" t="s">
        <v>2874</v>
      </c>
      <c r="F84" s="241" t="s">
        <v>2705</v>
      </c>
      <c r="G84" s="233" t="s">
        <v>1940</v>
      </c>
      <c r="H84" s="233" t="s">
        <v>1940</v>
      </c>
      <c r="I84" s="238">
        <v>2825711</v>
      </c>
      <c r="L84" s="229">
        <v>1757517.7</v>
      </c>
      <c r="N84" s="229" t="s">
        <v>17</v>
      </c>
      <c r="U84">
        <v>4006</v>
      </c>
    </row>
    <row r="85" spans="1:21">
      <c r="A85" s="233">
        <v>84</v>
      </c>
      <c r="B85" s="185">
        <v>73</v>
      </c>
      <c r="C85" s="185" t="s">
        <v>2533</v>
      </c>
      <c r="D85" s="185" t="s">
        <v>1427</v>
      </c>
      <c r="E85" s="249" t="s">
        <v>2875</v>
      </c>
      <c r="F85" s="241" t="s">
        <v>2704</v>
      </c>
      <c r="G85" s="233" t="s">
        <v>1812</v>
      </c>
      <c r="H85" s="233" t="s">
        <v>1812</v>
      </c>
      <c r="I85" s="238">
        <v>47371116</v>
      </c>
      <c r="L85" s="229">
        <v>60430093</v>
      </c>
      <c r="N85" s="229" t="s">
        <v>17</v>
      </c>
      <c r="U85">
        <v>4006</v>
      </c>
    </row>
    <row r="86" spans="1:21">
      <c r="A86" s="233">
        <v>85</v>
      </c>
      <c r="B86" s="185">
        <v>146</v>
      </c>
      <c r="C86" s="185" t="s">
        <v>2533</v>
      </c>
      <c r="D86" s="185" t="s">
        <v>659</v>
      </c>
      <c r="E86" s="249" t="s">
        <v>2876</v>
      </c>
      <c r="F86" s="241" t="s">
        <v>1811</v>
      </c>
      <c r="G86" s="233" t="s">
        <v>1812</v>
      </c>
      <c r="H86" s="233" t="s">
        <v>1812</v>
      </c>
      <c r="I86" s="238">
        <v>13966773</v>
      </c>
      <c r="L86" s="229">
        <v>15745406</v>
      </c>
      <c r="N86" s="229" t="s">
        <v>17</v>
      </c>
      <c r="U86">
        <v>4006</v>
      </c>
    </row>
    <row r="87" spans="1:21">
      <c r="A87" s="233">
        <v>86</v>
      </c>
      <c r="B87" s="185">
        <v>86</v>
      </c>
      <c r="C87" s="185" t="s">
        <v>2533</v>
      </c>
      <c r="D87" s="185" t="s">
        <v>1436</v>
      </c>
      <c r="E87" s="249" t="s">
        <v>2877</v>
      </c>
      <c r="F87" s="241" t="s">
        <v>2703</v>
      </c>
      <c r="G87" s="233" t="s">
        <v>1993</v>
      </c>
      <c r="H87" s="233" t="s">
        <v>1993</v>
      </c>
      <c r="I87" s="238">
        <v>20660582</v>
      </c>
      <c r="L87" s="229">
        <v>22145375</v>
      </c>
      <c r="N87" s="229" t="s">
        <v>17</v>
      </c>
      <c r="U87">
        <v>4006</v>
      </c>
    </row>
    <row r="88" spans="1:21">
      <c r="A88" s="233">
        <v>87</v>
      </c>
      <c r="B88" s="185">
        <v>86</v>
      </c>
      <c r="C88" s="185" t="s">
        <v>965</v>
      </c>
      <c r="D88" s="185" t="s">
        <v>1436</v>
      </c>
      <c r="E88" s="249" t="s">
        <v>3110</v>
      </c>
      <c r="F88" s="241" t="s">
        <v>1979</v>
      </c>
      <c r="G88" s="233" t="s">
        <v>1980</v>
      </c>
      <c r="H88" s="233" t="s">
        <v>1980</v>
      </c>
      <c r="I88" s="238">
        <v>11806000</v>
      </c>
      <c r="L88" s="229">
        <v>12190896</v>
      </c>
      <c r="N88" s="229" t="s">
        <v>17</v>
      </c>
      <c r="U88">
        <v>4006</v>
      </c>
    </row>
    <row r="89" spans="1:21">
      <c r="A89" s="233">
        <v>88</v>
      </c>
      <c r="B89" s="185">
        <v>50</v>
      </c>
      <c r="C89" s="185" t="s">
        <v>3020</v>
      </c>
      <c r="D89" s="185" t="s">
        <v>1585</v>
      </c>
      <c r="E89" s="249" t="s">
        <v>3111</v>
      </c>
      <c r="F89" s="241" t="s">
        <v>1725</v>
      </c>
      <c r="G89" s="233" t="s">
        <v>1724</v>
      </c>
      <c r="H89" s="233" t="s">
        <v>1724</v>
      </c>
      <c r="I89" s="238">
        <v>5154000</v>
      </c>
      <c r="L89" s="229">
        <v>5674012</v>
      </c>
      <c r="N89" s="229" t="s">
        <v>17</v>
      </c>
      <c r="U89">
        <v>4006</v>
      </c>
    </row>
    <row r="90" spans="1:21">
      <c r="A90" s="233">
        <v>89</v>
      </c>
      <c r="B90" s="185">
        <v>51</v>
      </c>
      <c r="C90" s="185" t="s">
        <v>3020</v>
      </c>
      <c r="D90" s="185" t="s">
        <v>1584</v>
      </c>
      <c r="E90" s="249" t="s">
        <v>3112</v>
      </c>
      <c r="F90" s="241" t="s">
        <v>1723</v>
      </c>
      <c r="G90" s="233" t="s">
        <v>1724</v>
      </c>
      <c r="H90" s="233" t="s">
        <v>1724</v>
      </c>
      <c r="I90" s="238">
        <v>7058000</v>
      </c>
      <c r="L90" s="229">
        <v>5920717</v>
      </c>
      <c r="N90" s="229" t="s">
        <v>17</v>
      </c>
      <c r="U90">
        <v>4006</v>
      </c>
    </row>
    <row r="91" spans="1:21">
      <c r="A91" s="233">
        <v>90</v>
      </c>
      <c r="B91" s="185">
        <v>41</v>
      </c>
      <c r="C91" s="185" t="s">
        <v>3020</v>
      </c>
      <c r="D91" s="185" t="s">
        <v>1590</v>
      </c>
      <c r="E91" s="249" t="s">
        <v>3113</v>
      </c>
      <c r="F91" s="241" t="s">
        <v>1916</v>
      </c>
      <c r="G91" s="233" t="s">
        <v>1917</v>
      </c>
      <c r="H91" s="233" t="s">
        <v>1917</v>
      </c>
      <c r="I91" s="238">
        <v>9594949</v>
      </c>
      <c r="L91" s="229">
        <v>3014156.8</v>
      </c>
      <c r="N91" s="229" t="s">
        <v>17</v>
      </c>
      <c r="U91">
        <v>4006</v>
      </c>
    </row>
    <row r="92" spans="1:21">
      <c r="A92" s="233">
        <v>91</v>
      </c>
      <c r="B92" s="185">
        <v>107</v>
      </c>
      <c r="C92" s="185" t="s">
        <v>3020</v>
      </c>
      <c r="D92" s="185" t="s">
        <v>1010</v>
      </c>
      <c r="E92" s="249" t="s">
        <v>3114</v>
      </c>
      <c r="F92" s="241" t="s">
        <v>1966</v>
      </c>
      <c r="G92" s="233" t="s">
        <v>1967</v>
      </c>
      <c r="H92" s="233" t="s">
        <v>1967</v>
      </c>
      <c r="I92" s="238">
        <v>180397050</v>
      </c>
      <c r="L92" s="229">
        <v>271306730</v>
      </c>
      <c r="N92" s="229" t="s">
        <v>17</v>
      </c>
      <c r="U92">
        <v>4006</v>
      </c>
    </row>
    <row r="93" spans="1:21">
      <c r="A93" s="233">
        <v>92</v>
      </c>
      <c r="B93" s="185">
        <v>86</v>
      </c>
      <c r="C93" s="185" t="s">
        <v>3020</v>
      </c>
      <c r="D93" s="185" t="s">
        <v>1436</v>
      </c>
      <c r="E93" s="249" t="s">
        <v>3115</v>
      </c>
      <c r="F93" s="241" t="s">
        <v>1981</v>
      </c>
      <c r="G93" s="233" t="s">
        <v>1982</v>
      </c>
      <c r="H93" s="233" t="s">
        <v>1982</v>
      </c>
      <c r="I93" s="238">
        <v>25397442</v>
      </c>
      <c r="L93" s="229">
        <v>25589363</v>
      </c>
      <c r="N93" s="229" t="s">
        <v>17</v>
      </c>
      <c r="U93">
        <v>4006</v>
      </c>
    </row>
    <row r="94" spans="1:21">
      <c r="A94" s="233">
        <v>93</v>
      </c>
      <c r="B94" s="185">
        <v>107</v>
      </c>
      <c r="C94" s="185" t="s">
        <v>298</v>
      </c>
      <c r="D94" s="185" t="s">
        <v>1010</v>
      </c>
      <c r="E94" s="249" t="s">
        <v>2878</v>
      </c>
      <c r="F94" s="241" t="s">
        <v>1968</v>
      </c>
      <c r="G94" s="233" t="s">
        <v>1969</v>
      </c>
      <c r="H94" s="233" t="s">
        <v>1969</v>
      </c>
      <c r="I94" s="238">
        <v>1440704</v>
      </c>
      <c r="L94" s="229">
        <v>2178847.1800000002</v>
      </c>
      <c r="N94" s="229" t="s">
        <v>17</v>
      </c>
      <c r="U94">
        <v>4006</v>
      </c>
    </row>
    <row r="95" spans="1:21">
      <c r="A95" s="233">
        <v>94</v>
      </c>
      <c r="B95" s="185">
        <v>41</v>
      </c>
      <c r="C95" s="185" t="s">
        <v>3020</v>
      </c>
      <c r="D95" s="185" t="s">
        <v>1590</v>
      </c>
      <c r="E95" s="249" t="s">
        <v>3116</v>
      </c>
      <c r="F95" s="241" t="s">
        <v>1910</v>
      </c>
      <c r="G95" s="233" t="s">
        <v>1911</v>
      </c>
      <c r="H95" s="233" t="s">
        <v>1911</v>
      </c>
      <c r="I95" s="238">
        <v>26850000</v>
      </c>
      <c r="L95" s="229">
        <v>30482892</v>
      </c>
      <c r="N95" s="229" t="s">
        <v>17</v>
      </c>
      <c r="U95">
        <v>4006</v>
      </c>
    </row>
    <row r="96" spans="1:21">
      <c r="A96" s="233">
        <v>95</v>
      </c>
      <c r="B96" s="185">
        <v>42</v>
      </c>
      <c r="C96" s="185" t="s">
        <v>298</v>
      </c>
      <c r="D96" s="185" t="s">
        <v>1677</v>
      </c>
      <c r="E96" s="249" t="s">
        <v>3024</v>
      </c>
      <c r="F96" s="241" t="s">
        <v>3022</v>
      </c>
      <c r="G96" s="233" t="s">
        <v>1906</v>
      </c>
      <c r="H96" s="233" t="s">
        <v>1906</v>
      </c>
      <c r="I96" s="238">
        <v>40387469</v>
      </c>
      <c r="L96" s="229">
        <v>40870355</v>
      </c>
      <c r="N96" s="229" t="s">
        <v>17</v>
      </c>
      <c r="U96">
        <v>4006</v>
      </c>
    </row>
    <row r="97" spans="1:21">
      <c r="A97" s="233">
        <v>96</v>
      </c>
      <c r="B97" s="185">
        <v>53</v>
      </c>
      <c r="C97" s="185" t="s">
        <v>2533</v>
      </c>
      <c r="D97" s="185" t="s">
        <v>623</v>
      </c>
      <c r="E97" s="249" t="s">
        <v>3025</v>
      </c>
      <c r="F97" s="241" t="s">
        <v>3023</v>
      </c>
      <c r="G97" s="233" t="s">
        <v>1726</v>
      </c>
      <c r="H97" s="233" t="s">
        <v>1726</v>
      </c>
      <c r="I97" s="238">
        <v>1066691</v>
      </c>
      <c r="L97" s="229">
        <v>2752970.24</v>
      </c>
      <c r="N97" s="229" t="s">
        <v>17</v>
      </c>
      <c r="U97">
        <v>4006</v>
      </c>
    </row>
    <row r="98" spans="1:21">
      <c r="A98" s="233">
        <v>97</v>
      </c>
      <c r="B98" s="185">
        <v>53</v>
      </c>
      <c r="C98" s="185" t="s">
        <v>2533</v>
      </c>
      <c r="D98" s="185" t="s">
        <v>623</v>
      </c>
      <c r="E98" s="249" t="s">
        <v>2879</v>
      </c>
      <c r="F98" s="241" t="s">
        <v>1727</v>
      </c>
      <c r="G98" s="233" t="s">
        <v>1728</v>
      </c>
      <c r="H98" s="233" t="s">
        <v>1728</v>
      </c>
      <c r="I98" s="238">
        <v>12412332</v>
      </c>
      <c r="L98" s="229">
        <v>13650030</v>
      </c>
      <c r="N98" s="229" t="s">
        <v>17</v>
      </c>
      <c r="U98">
        <v>4006</v>
      </c>
    </row>
    <row r="99" spans="1:21">
      <c r="A99" s="233">
        <v>98</v>
      </c>
      <c r="B99" s="185">
        <v>148</v>
      </c>
      <c r="C99" s="185" t="s">
        <v>2533</v>
      </c>
      <c r="D99" s="185" t="s">
        <v>2666</v>
      </c>
      <c r="E99" s="249" t="s">
        <v>2880</v>
      </c>
      <c r="F99" s="241" t="s">
        <v>1868</v>
      </c>
      <c r="G99" s="233" t="s">
        <v>1869</v>
      </c>
      <c r="H99" s="233" t="s">
        <v>1869</v>
      </c>
      <c r="I99" s="238">
        <v>11998798</v>
      </c>
      <c r="L99" s="229">
        <v>5539317.6100000003</v>
      </c>
      <c r="N99" s="229" t="s">
        <v>17</v>
      </c>
      <c r="U99">
        <v>4006</v>
      </c>
    </row>
    <row r="100" spans="1:21">
      <c r="A100" s="233">
        <v>99</v>
      </c>
      <c r="B100" s="185">
        <v>73</v>
      </c>
      <c r="C100" s="185" t="s">
        <v>298</v>
      </c>
      <c r="D100" s="185" t="s">
        <v>1427</v>
      </c>
      <c r="E100" s="249" t="s">
        <v>2881</v>
      </c>
      <c r="F100" s="241" t="s">
        <v>1830</v>
      </c>
      <c r="G100" s="233" t="s">
        <v>1831</v>
      </c>
      <c r="H100" s="233" t="s">
        <v>1831</v>
      </c>
      <c r="I100" s="238">
        <v>20271165</v>
      </c>
      <c r="L100" s="229">
        <v>25640225</v>
      </c>
      <c r="N100" s="229" t="s">
        <v>17</v>
      </c>
      <c r="U100">
        <v>4006</v>
      </c>
    </row>
    <row r="101" spans="1:21">
      <c r="A101" s="233">
        <v>100</v>
      </c>
      <c r="B101" s="185">
        <v>86</v>
      </c>
      <c r="C101" s="185" t="s">
        <v>3020</v>
      </c>
      <c r="D101" s="185" t="s">
        <v>1436</v>
      </c>
      <c r="E101" s="249" t="s">
        <v>3117</v>
      </c>
      <c r="F101" s="241" t="s">
        <v>1987</v>
      </c>
      <c r="G101" s="233" t="s">
        <v>1988</v>
      </c>
      <c r="H101" s="233" t="s">
        <v>1988</v>
      </c>
      <c r="I101" s="238">
        <v>24182500</v>
      </c>
      <c r="L101" s="229">
        <v>30027485</v>
      </c>
      <c r="N101" s="229" t="s">
        <v>17</v>
      </c>
      <c r="U101">
        <v>4006</v>
      </c>
    </row>
    <row r="102" spans="1:21">
      <c r="A102" s="233">
        <v>101</v>
      </c>
      <c r="B102" s="185">
        <v>83</v>
      </c>
      <c r="C102" s="185" t="s">
        <v>3020</v>
      </c>
      <c r="D102" s="185" t="s">
        <v>2661</v>
      </c>
      <c r="E102" s="249" t="s">
        <v>3118</v>
      </c>
      <c r="F102" s="241" t="s">
        <v>1946</v>
      </c>
      <c r="G102" s="233" t="s">
        <v>1947</v>
      </c>
      <c r="H102" s="233" t="s">
        <v>1947</v>
      </c>
      <c r="I102" s="238">
        <v>50937907</v>
      </c>
      <c r="L102" s="229">
        <v>75887242.180000007</v>
      </c>
      <c r="N102" s="229" t="s">
        <v>17</v>
      </c>
      <c r="U102">
        <v>4006</v>
      </c>
    </row>
    <row r="103" spans="1:21">
      <c r="A103" s="233">
        <v>102</v>
      </c>
      <c r="B103" s="185">
        <v>148</v>
      </c>
      <c r="C103" s="185" t="s">
        <v>2533</v>
      </c>
      <c r="D103" s="185" t="s">
        <v>2666</v>
      </c>
      <c r="E103" s="249" t="s">
        <v>2882</v>
      </c>
      <c r="F103" s="241" t="s">
        <v>1870</v>
      </c>
      <c r="G103" s="233" t="s">
        <v>1871</v>
      </c>
      <c r="H103" s="233" t="s">
        <v>1871</v>
      </c>
      <c r="I103" s="238">
        <v>32615589</v>
      </c>
      <c r="L103" s="229">
        <v>34907769.009999998</v>
      </c>
      <c r="N103" s="229" t="s">
        <v>17</v>
      </c>
      <c r="U103">
        <v>4006</v>
      </c>
    </row>
    <row r="104" spans="1:21">
      <c r="A104" s="233">
        <v>103</v>
      </c>
      <c r="B104" s="185">
        <v>41</v>
      </c>
      <c r="C104" s="185" t="s">
        <v>3020</v>
      </c>
      <c r="D104" s="185" t="s">
        <v>1590</v>
      </c>
      <c r="E104" s="249" t="s">
        <v>3119</v>
      </c>
      <c r="F104" s="241" t="s">
        <v>1913</v>
      </c>
      <c r="G104" s="233" t="s">
        <v>1914</v>
      </c>
      <c r="H104" s="233" t="s">
        <v>1914</v>
      </c>
      <c r="I104" s="238">
        <v>19898000</v>
      </c>
      <c r="L104" s="229">
        <v>21676430</v>
      </c>
      <c r="N104" s="229" t="s">
        <v>17</v>
      </c>
      <c r="U104">
        <v>4006</v>
      </c>
    </row>
    <row r="105" spans="1:21">
      <c r="A105" s="233">
        <v>104</v>
      </c>
      <c r="B105" s="185">
        <v>73</v>
      </c>
      <c r="C105" s="185" t="s">
        <v>2533</v>
      </c>
      <c r="D105" s="185" t="s">
        <v>1427</v>
      </c>
      <c r="E105" s="249" t="s">
        <v>2883</v>
      </c>
      <c r="F105" s="241" t="s">
        <v>1847</v>
      </c>
      <c r="G105" s="233" t="s">
        <v>1848</v>
      </c>
      <c r="H105" s="233" t="s">
        <v>1848</v>
      </c>
      <c r="I105" s="238">
        <v>99851018</v>
      </c>
      <c r="L105" s="229">
        <v>126392497</v>
      </c>
      <c r="N105" s="229" t="s">
        <v>17</v>
      </c>
      <c r="U105">
        <v>4006</v>
      </c>
    </row>
    <row r="106" spans="1:21">
      <c r="A106" s="233">
        <v>105</v>
      </c>
      <c r="B106" s="185">
        <v>73</v>
      </c>
      <c r="C106" s="185" t="s">
        <v>3020</v>
      </c>
      <c r="D106" s="185" t="s">
        <v>1427</v>
      </c>
      <c r="E106" s="249" t="s">
        <v>3120</v>
      </c>
      <c r="F106" s="241" t="s">
        <v>1843</v>
      </c>
      <c r="G106" s="233" t="s">
        <v>1844</v>
      </c>
      <c r="H106" s="233" t="s">
        <v>1844</v>
      </c>
      <c r="I106" s="238">
        <v>7387760</v>
      </c>
      <c r="L106" s="229">
        <v>8677868</v>
      </c>
      <c r="N106" s="229" t="s">
        <v>17</v>
      </c>
      <c r="U106">
        <v>4006</v>
      </c>
    </row>
    <row r="107" spans="1:21">
      <c r="A107" s="233">
        <v>106</v>
      </c>
      <c r="B107" s="185">
        <v>94</v>
      </c>
      <c r="C107" s="185" t="s">
        <v>298</v>
      </c>
      <c r="D107" s="185" t="s">
        <v>1690</v>
      </c>
      <c r="E107" s="249" t="s">
        <v>2884</v>
      </c>
      <c r="F107" s="241" t="s">
        <v>2039</v>
      </c>
      <c r="G107" s="233" t="s">
        <v>2040</v>
      </c>
      <c r="H107" s="233" t="s">
        <v>2040</v>
      </c>
      <c r="I107" s="238">
        <v>7875034</v>
      </c>
      <c r="L107" s="229">
        <v>4682109</v>
      </c>
      <c r="N107" s="229" t="s">
        <v>17</v>
      </c>
      <c r="U107">
        <v>4006</v>
      </c>
    </row>
    <row r="108" spans="1:21">
      <c r="A108" s="233">
        <v>107</v>
      </c>
      <c r="B108" s="185">
        <v>149</v>
      </c>
      <c r="C108" s="185" t="s">
        <v>2520</v>
      </c>
      <c r="D108" s="185" t="s">
        <v>458</v>
      </c>
      <c r="E108" s="249" t="s">
        <v>2885</v>
      </c>
      <c r="F108" s="241" t="s">
        <v>1896</v>
      </c>
      <c r="G108" s="233" t="s">
        <v>1897</v>
      </c>
      <c r="H108" s="233" t="s">
        <v>1897</v>
      </c>
      <c r="I108" s="238">
        <v>28474693</v>
      </c>
      <c r="L108" s="229">
        <v>68249430.019999996</v>
      </c>
      <c r="N108" s="229" t="s">
        <v>17</v>
      </c>
      <c r="U108">
        <v>4006</v>
      </c>
    </row>
    <row r="109" spans="1:21">
      <c r="A109" s="233">
        <v>108</v>
      </c>
      <c r="B109" s="185">
        <v>130</v>
      </c>
      <c r="C109" s="185" t="s">
        <v>298</v>
      </c>
      <c r="D109" s="185" t="s">
        <v>2677</v>
      </c>
      <c r="E109" s="249" t="s">
        <v>2886</v>
      </c>
      <c r="F109" s="241" t="s">
        <v>1962</v>
      </c>
      <c r="G109" s="233" t="s">
        <v>379</v>
      </c>
      <c r="H109" s="233" t="s">
        <v>379</v>
      </c>
      <c r="I109" s="238">
        <v>4869723</v>
      </c>
      <c r="L109" s="229">
        <v>6962737.4000000004</v>
      </c>
      <c r="N109" s="229" t="s">
        <v>17</v>
      </c>
      <c r="U109">
        <v>4006</v>
      </c>
    </row>
    <row r="110" spans="1:21">
      <c r="A110" s="233">
        <v>109</v>
      </c>
      <c r="B110" s="185">
        <v>96</v>
      </c>
      <c r="C110" s="185" t="s">
        <v>3020</v>
      </c>
      <c r="D110" s="185" t="s">
        <v>29</v>
      </c>
      <c r="E110" s="249" t="s">
        <v>3121</v>
      </c>
      <c r="F110" s="241" t="s">
        <v>2047</v>
      </c>
      <c r="G110" s="233" t="s">
        <v>2048</v>
      </c>
      <c r="H110" s="233" t="s">
        <v>2049</v>
      </c>
      <c r="I110" s="238">
        <v>44032611</v>
      </c>
      <c r="L110" s="229">
        <v>51141941.829999998</v>
      </c>
      <c r="N110" s="229" t="s">
        <v>17</v>
      </c>
      <c r="U110">
        <v>4006</v>
      </c>
    </row>
    <row r="111" spans="1:21">
      <c r="A111" s="233">
        <v>110</v>
      </c>
      <c r="B111" s="185">
        <v>150</v>
      </c>
      <c r="C111" s="185" t="s">
        <v>298</v>
      </c>
      <c r="D111" s="185" t="s">
        <v>2064</v>
      </c>
      <c r="E111" s="249" t="s">
        <v>2887</v>
      </c>
      <c r="F111" s="241" t="s">
        <v>2065</v>
      </c>
      <c r="G111" s="233" t="s">
        <v>2066</v>
      </c>
      <c r="H111" s="233" t="s">
        <v>2066</v>
      </c>
      <c r="I111" s="238">
        <v>15407747</v>
      </c>
      <c r="L111" s="229">
        <v>16439510.630000001</v>
      </c>
      <c r="N111" s="229" t="s">
        <v>17</v>
      </c>
      <c r="U111">
        <v>4006</v>
      </c>
    </row>
    <row r="112" spans="1:21">
      <c r="A112" s="233">
        <v>111</v>
      </c>
      <c r="B112" s="185">
        <v>54</v>
      </c>
      <c r="C112" s="185" t="s">
        <v>3020</v>
      </c>
      <c r="D112" s="185" t="s">
        <v>1582</v>
      </c>
      <c r="E112" s="249" t="s">
        <v>3122</v>
      </c>
      <c r="F112" s="241" t="s">
        <v>2573</v>
      </c>
      <c r="G112" s="233" t="s">
        <v>1747</v>
      </c>
      <c r="H112" s="233" t="s">
        <v>1743</v>
      </c>
      <c r="I112" s="238">
        <v>1473381001</v>
      </c>
      <c r="L112" s="229">
        <v>1649997674</v>
      </c>
      <c r="N112" s="229" t="s">
        <v>17</v>
      </c>
      <c r="U112">
        <v>4006</v>
      </c>
    </row>
    <row r="113" spans="1:21">
      <c r="A113" s="233">
        <v>112</v>
      </c>
      <c r="B113" s="185">
        <v>34</v>
      </c>
      <c r="C113" s="185" t="s">
        <v>3020</v>
      </c>
      <c r="D113" s="185" t="s">
        <v>1628</v>
      </c>
      <c r="E113" s="249" t="s">
        <v>3123</v>
      </c>
      <c r="F113" s="241" t="s">
        <v>3027</v>
      </c>
      <c r="G113" s="233" t="s">
        <v>1917</v>
      </c>
      <c r="H113" s="233" t="s">
        <v>1917</v>
      </c>
      <c r="I113" s="238">
        <v>149350500</v>
      </c>
      <c r="L113" s="229">
        <v>162309702</v>
      </c>
      <c r="N113" s="229" t="s">
        <v>17</v>
      </c>
      <c r="U113">
        <v>4006</v>
      </c>
    </row>
    <row r="114" spans="1:21">
      <c r="A114" s="233">
        <v>113</v>
      </c>
      <c r="B114" s="185">
        <v>23</v>
      </c>
      <c r="C114" s="185" t="s">
        <v>3020</v>
      </c>
      <c r="D114" s="185" t="s">
        <v>1622</v>
      </c>
      <c r="E114" s="249" t="s">
        <v>3124</v>
      </c>
      <c r="F114" s="241" t="s">
        <v>1894</v>
      </c>
      <c r="G114" s="233" t="s">
        <v>1895</v>
      </c>
      <c r="H114" s="233" t="s">
        <v>1895</v>
      </c>
      <c r="I114" s="238">
        <v>189762114</v>
      </c>
      <c r="L114" s="229">
        <v>204328713.55000001</v>
      </c>
      <c r="N114" s="229" t="s">
        <v>17</v>
      </c>
      <c r="U114">
        <v>4006</v>
      </c>
    </row>
    <row r="115" spans="1:21">
      <c r="A115" s="233">
        <v>114</v>
      </c>
      <c r="B115" s="185">
        <v>22</v>
      </c>
      <c r="C115" s="185" t="s">
        <v>3020</v>
      </c>
      <c r="D115" s="185" t="s">
        <v>126</v>
      </c>
      <c r="E115" s="249" t="s">
        <v>3125</v>
      </c>
      <c r="F115" s="241" t="s">
        <v>2062</v>
      </c>
      <c r="G115" s="233" t="s">
        <v>2063</v>
      </c>
      <c r="H115" s="233" t="s">
        <v>2063</v>
      </c>
      <c r="I115" s="238">
        <v>38318000</v>
      </c>
      <c r="L115" s="229">
        <v>19825280</v>
      </c>
      <c r="N115" s="229" t="s">
        <v>17</v>
      </c>
      <c r="U115">
        <v>4006</v>
      </c>
    </row>
    <row r="116" spans="1:21">
      <c r="A116" s="233">
        <v>115</v>
      </c>
      <c r="B116" s="185">
        <v>31</v>
      </c>
      <c r="C116" s="185" t="s">
        <v>3020</v>
      </c>
      <c r="D116" s="185" t="s">
        <v>1626</v>
      </c>
      <c r="E116" s="249" t="s">
        <v>3126</v>
      </c>
      <c r="F116" s="241" t="s">
        <v>2017</v>
      </c>
      <c r="G116" s="233" t="s">
        <v>2018</v>
      </c>
      <c r="H116" s="233" t="s">
        <v>2018</v>
      </c>
      <c r="I116" s="238">
        <v>99606588</v>
      </c>
      <c r="L116" s="229">
        <v>107490698.79000001</v>
      </c>
      <c r="N116" s="229" t="s">
        <v>17</v>
      </c>
      <c r="U116">
        <v>4006</v>
      </c>
    </row>
    <row r="117" spans="1:21">
      <c r="A117" s="233">
        <v>116</v>
      </c>
      <c r="B117" s="185">
        <v>91</v>
      </c>
      <c r="C117" s="185" t="s">
        <v>3020</v>
      </c>
      <c r="D117" s="185" t="s">
        <v>144</v>
      </c>
      <c r="E117" s="249" t="s">
        <v>3127</v>
      </c>
      <c r="F117" s="241" t="s">
        <v>2019</v>
      </c>
      <c r="G117" s="233" t="s">
        <v>2020</v>
      </c>
      <c r="H117" s="233" t="s">
        <v>2020</v>
      </c>
      <c r="I117" s="238">
        <v>137600000</v>
      </c>
      <c r="L117" s="229">
        <v>142575081</v>
      </c>
      <c r="N117" s="229" t="s">
        <v>17</v>
      </c>
      <c r="U117">
        <v>4006</v>
      </c>
    </row>
    <row r="118" spans="1:21">
      <c r="A118" s="233">
        <v>117</v>
      </c>
      <c r="B118" s="185">
        <v>94</v>
      </c>
      <c r="C118" s="185" t="s">
        <v>298</v>
      </c>
      <c r="D118" s="185" t="s">
        <v>1690</v>
      </c>
      <c r="E118" s="249" t="s">
        <v>2888</v>
      </c>
      <c r="F118" s="241" t="s">
        <v>2036</v>
      </c>
      <c r="G118" s="233" t="s">
        <v>2037</v>
      </c>
      <c r="H118" s="233" t="s">
        <v>2037</v>
      </c>
      <c r="I118" s="238">
        <v>16314795</v>
      </c>
      <c r="L118" s="229">
        <v>17674675.18</v>
      </c>
      <c r="N118" s="229" t="s">
        <v>17</v>
      </c>
      <c r="U118">
        <v>4006</v>
      </c>
    </row>
    <row r="119" spans="1:21">
      <c r="A119" s="233">
        <v>118</v>
      </c>
      <c r="B119" s="185">
        <v>146</v>
      </c>
      <c r="C119" s="185" t="s">
        <v>2533</v>
      </c>
      <c r="D119" s="185" t="s">
        <v>659</v>
      </c>
      <c r="E119" s="249" t="s">
        <v>2889</v>
      </c>
      <c r="F119" s="241" t="s">
        <v>1815</v>
      </c>
      <c r="G119" s="233" t="s">
        <v>1816</v>
      </c>
      <c r="H119" s="233" t="s">
        <v>1816</v>
      </c>
      <c r="I119" s="238">
        <v>56243510</v>
      </c>
      <c r="L119" s="229">
        <v>66544739.649999999</v>
      </c>
      <c r="N119" s="229" t="s">
        <v>17</v>
      </c>
      <c r="U119">
        <v>4006</v>
      </c>
    </row>
    <row r="120" spans="1:21">
      <c r="A120" s="233">
        <v>119</v>
      </c>
      <c r="B120" s="185">
        <v>41</v>
      </c>
      <c r="C120" s="185" t="s">
        <v>3020</v>
      </c>
      <c r="D120" s="185" t="s">
        <v>1590</v>
      </c>
      <c r="E120" s="249" t="s">
        <v>3128</v>
      </c>
      <c r="F120" s="241" t="s">
        <v>1908</v>
      </c>
      <c r="G120" s="233" t="s">
        <v>1909</v>
      </c>
      <c r="H120" s="233" t="s">
        <v>1909</v>
      </c>
      <c r="I120" s="238">
        <v>31306000</v>
      </c>
      <c r="L120" s="229">
        <v>28649012</v>
      </c>
      <c r="N120" s="229" t="s">
        <v>17</v>
      </c>
      <c r="U120">
        <v>4006</v>
      </c>
    </row>
    <row r="121" spans="1:21">
      <c r="A121" s="233">
        <v>120</v>
      </c>
      <c r="B121" s="185">
        <v>94</v>
      </c>
      <c r="C121" s="185" t="s">
        <v>2533</v>
      </c>
      <c r="D121" s="185" t="s">
        <v>1690</v>
      </c>
      <c r="E121" s="249" t="s">
        <v>2890</v>
      </c>
      <c r="F121" s="241" t="s">
        <v>2034</v>
      </c>
      <c r="G121" s="233" t="s">
        <v>2035</v>
      </c>
      <c r="H121" s="233" t="s">
        <v>2035</v>
      </c>
      <c r="I121" s="238">
        <v>8738030</v>
      </c>
      <c r="L121" s="229">
        <v>5655151</v>
      </c>
      <c r="N121" s="229" t="s">
        <v>17</v>
      </c>
      <c r="U121">
        <v>4006</v>
      </c>
    </row>
    <row r="122" spans="1:21">
      <c r="A122" s="233">
        <v>121</v>
      </c>
      <c r="B122" s="185">
        <v>146</v>
      </c>
      <c r="C122" s="185" t="s">
        <v>2533</v>
      </c>
      <c r="D122" s="185" t="s">
        <v>659</v>
      </c>
      <c r="E122" s="249" t="s">
        <v>2891</v>
      </c>
      <c r="F122" s="241" t="s">
        <v>1813</v>
      </c>
      <c r="G122" s="233" t="s">
        <v>1814</v>
      </c>
      <c r="H122" s="233" t="s">
        <v>1814</v>
      </c>
      <c r="I122" s="238">
        <v>14814210</v>
      </c>
      <c r="L122" s="229">
        <v>15276770.49</v>
      </c>
      <c r="N122" s="229" t="s">
        <v>17</v>
      </c>
      <c r="U122">
        <v>4006</v>
      </c>
    </row>
    <row r="123" spans="1:21">
      <c r="A123" s="233">
        <v>122</v>
      </c>
      <c r="B123" s="185">
        <v>42</v>
      </c>
      <c r="C123" s="185" t="s">
        <v>298</v>
      </c>
      <c r="D123" s="185" t="s">
        <v>1677</v>
      </c>
      <c r="E123" s="249" t="s">
        <v>2892</v>
      </c>
      <c r="F123" s="241" t="s">
        <v>1905</v>
      </c>
      <c r="G123" s="233" t="s">
        <v>1814</v>
      </c>
      <c r="H123" s="233" t="s">
        <v>1814</v>
      </c>
      <c r="I123" s="238">
        <v>59322070</v>
      </c>
      <c r="L123" s="229">
        <v>63122249.640000001</v>
      </c>
      <c r="N123" s="229" t="s">
        <v>17</v>
      </c>
      <c r="U123">
        <v>4006</v>
      </c>
    </row>
    <row r="124" spans="1:21">
      <c r="A124" s="233">
        <v>123</v>
      </c>
      <c r="B124" s="185">
        <v>42</v>
      </c>
      <c r="C124" s="185" t="s">
        <v>298</v>
      </c>
      <c r="D124" s="185" t="s">
        <v>1677</v>
      </c>
      <c r="E124" s="249" t="s">
        <v>2893</v>
      </c>
      <c r="F124" s="241" t="s">
        <v>2702</v>
      </c>
      <c r="G124" s="233" t="s">
        <v>1904</v>
      </c>
      <c r="H124" s="233" t="s">
        <v>1904</v>
      </c>
      <c r="I124" s="238">
        <v>53250468</v>
      </c>
      <c r="L124" s="229">
        <v>47429773.450000003</v>
      </c>
      <c r="N124" s="229" t="s">
        <v>17</v>
      </c>
      <c r="U124">
        <v>4006</v>
      </c>
    </row>
    <row r="125" spans="1:21">
      <c r="A125" s="233">
        <v>124</v>
      </c>
      <c r="B125" s="185">
        <v>33</v>
      </c>
      <c r="C125" s="185" t="s">
        <v>298</v>
      </c>
      <c r="D125" s="185" t="s">
        <v>1452</v>
      </c>
      <c r="E125" s="249" t="s">
        <v>2894</v>
      </c>
      <c r="F125" s="241" t="s">
        <v>2007</v>
      </c>
      <c r="G125" s="233" t="s">
        <v>2008</v>
      </c>
      <c r="H125" s="233" t="s">
        <v>2009</v>
      </c>
      <c r="I125" s="238">
        <v>169528366</v>
      </c>
      <c r="L125" s="229">
        <v>148027765.22999999</v>
      </c>
      <c r="N125" s="229" t="s">
        <v>17</v>
      </c>
      <c r="U125">
        <v>4006</v>
      </c>
    </row>
    <row r="126" spans="1:21">
      <c r="A126" s="233">
        <v>125</v>
      </c>
      <c r="B126" s="185">
        <v>151</v>
      </c>
      <c r="C126" s="185" t="s">
        <v>298</v>
      </c>
      <c r="D126" s="185" t="s">
        <v>2668</v>
      </c>
      <c r="E126" s="249" t="s">
        <v>2895</v>
      </c>
      <c r="F126" s="241" t="s">
        <v>2654</v>
      </c>
      <c r="G126" s="233" t="s">
        <v>2442</v>
      </c>
      <c r="H126" s="233" t="s">
        <v>2442</v>
      </c>
      <c r="I126" s="238">
        <v>4266662</v>
      </c>
      <c r="L126" s="229">
        <v>0</v>
      </c>
      <c r="N126" s="229" t="s">
        <v>17</v>
      </c>
      <c r="U126">
        <v>4006</v>
      </c>
    </row>
    <row r="127" spans="1:21">
      <c r="A127" s="233">
        <v>126</v>
      </c>
      <c r="B127" s="185">
        <v>33</v>
      </c>
      <c r="C127" s="185" t="s">
        <v>298</v>
      </c>
      <c r="D127" s="185" t="s">
        <v>1452</v>
      </c>
      <c r="E127" s="249" t="s">
        <v>2896</v>
      </c>
      <c r="F127" s="241" t="s">
        <v>2005</v>
      </c>
      <c r="G127" s="233" t="s">
        <v>2006</v>
      </c>
      <c r="H127" s="233" t="s">
        <v>2006</v>
      </c>
      <c r="I127" s="238">
        <v>31989319</v>
      </c>
      <c r="L127" s="229">
        <v>32117319</v>
      </c>
      <c r="N127" s="229" t="s">
        <v>17</v>
      </c>
      <c r="U127">
        <v>4006</v>
      </c>
    </row>
    <row r="128" spans="1:21">
      <c r="A128" s="233">
        <v>127</v>
      </c>
      <c r="B128" s="185">
        <v>95</v>
      </c>
      <c r="C128" s="185" t="s">
        <v>298</v>
      </c>
      <c r="D128" s="185" t="s">
        <v>2252</v>
      </c>
      <c r="E128" s="249" t="s">
        <v>2897</v>
      </c>
      <c r="F128" s="241" t="s">
        <v>2041</v>
      </c>
      <c r="G128" s="233" t="s">
        <v>2042</v>
      </c>
      <c r="H128" s="233" t="s">
        <v>2042</v>
      </c>
      <c r="I128" s="238">
        <v>47776036</v>
      </c>
      <c r="L128" s="229">
        <v>47979085.799999997</v>
      </c>
      <c r="N128" s="229" t="s">
        <v>17</v>
      </c>
      <c r="U128">
        <v>4006</v>
      </c>
    </row>
    <row r="129" spans="1:21">
      <c r="A129" s="233">
        <v>128</v>
      </c>
      <c r="B129" s="185">
        <v>94</v>
      </c>
      <c r="C129" s="185" t="s">
        <v>298</v>
      </c>
      <c r="D129" s="185" t="s">
        <v>1690</v>
      </c>
      <c r="E129" s="249" t="s">
        <v>2898</v>
      </c>
      <c r="F129" s="241" t="s">
        <v>2032</v>
      </c>
      <c r="G129" s="233" t="s">
        <v>2033</v>
      </c>
      <c r="H129" s="233" t="s">
        <v>2033</v>
      </c>
      <c r="I129" s="238">
        <v>10653580</v>
      </c>
      <c r="L129" s="229">
        <v>10725580</v>
      </c>
      <c r="N129" s="229" t="s">
        <v>17</v>
      </c>
      <c r="U129">
        <v>4006</v>
      </c>
    </row>
    <row r="130" spans="1:21">
      <c r="A130" s="233">
        <v>129</v>
      </c>
      <c r="B130" s="185">
        <v>148</v>
      </c>
      <c r="C130" s="185" t="s">
        <v>298</v>
      </c>
      <c r="D130" s="185" t="s">
        <v>2666</v>
      </c>
      <c r="E130" s="249" t="s">
        <v>2899</v>
      </c>
      <c r="F130" s="241" t="s">
        <v>1866</v>
      </c>
      <c r="G130" s="233" t="s">
        <v>1867</v>
      </c>
      <c r="H130" s="233" t="s">
        <v>1867</v>
      </c>
      <c r="I130" s="238">
        <v>9048787</v>
      </c>
      <c r="L130" s="229">
        <v>9173287.0999999996</v>
      </c>
      <c r="N130" s="229" t="s">
        <v>17</v>
      </c>
      <c r="U130">
        <v>4006</v>
      </c>
    </row>
    <row r="131" spans="1:21">
      <c r="A131" s="233">
        <v>130</v>
      </c>
      <c r="B131" s="185">
        <v>23</v>
      </c>
      <c r="C131" s="185" t="s">
        <v>3020</v>
      </c>
      <c r="D131" s="185" t="s">
        <v>1622</v>
      </c>
      <c r="E131" s="249" t="s">
        <v>3129</v>
      </c>
      <c r="F131" s="241" t="s">
        <v>1893</v>
      </c>
      <c r="G131" s="233" t="s">
        <v>1716</v>
      </c>
      <c r="H131" s="233" t="s">
        <v>1716</v>
      </c>
      <c r="I131" s="238">
        <v>722340951</v>
      </c>
      <c r="L131" s="229">
        <v>727789951.26999998</v>
      </c>
      <c r="N131" s="229" t="s">
        <v>17</v>
      </c>
      <c r="U131">
        <v>4006</v>
      </c>
    </row>
    <row r="132" spans="1:21">
      <c r="A132" s="233">
        <v>131</v>
      </c>
      <c r="B132" s="185">
        <v>22</v>
      </c>
      <c r="C132" s="185" t="s">
        <v>3020</v>
      </c>
      <c r="D132" s="185" t="s">
        <v>126</v>
      </c>
      <c r="E132" s="249" t="s">
        <v>3130</v>
      </c>
      <c r="F132" s="241" t="s">
        <v>3026</v>
      </c>
      <c r="G132" s="233" t="s">
        <v>2061</v>
      </c>
      <c r="H132" s="233" t="s">
        <v>2061</v>
      </c>
      <c r="I132" s="238">
        <v>804625103</v>
      </c>
      <c r="L132" s="229">
        <v>812269102.94000006</v>
      </c>
      <c r="N132" s="229" t="s">
        <v>17</v>
      </c>
      <c r="U132">
        <v>4006</v>
      </c>
    </row>
    <row r="133" spans="1:21">
      <c r="A133" s="233">
        <v>132</v>
      </c>
      <c r="B133" s="185">
        <v>79</v>
      </c>
      <c r="C133" s="185" t="s">
        <v>3020</v>
      </c>
      <c r="D133" s="185" t="s">
        <v>1592</v>
      </c>
      <c r="E133" s="249" t="s">
        <v>3131</v>
      </c>
      <c r="F133" s="241" t="s">
        <v>1931</v>
      </c>
      <c r="G133" s="233" t="s">
        <v>1932</v>
      </c>
      <c r="H133" s="233" t="s">
        <v>1932</v>
      </c>
      <c r="I133" s="238">
        <v>143837664</v>
      </c>
      <c r="L133" s="229">
        <v>146030214.56</v>
      </c>
      <c r="N133" s="229" t="s">
        <v>17</v>
      </c>
      <c r="U133">
        <v>4006</v>
      </c>
    </row>
    <row r="134" spans="1:21">
      <c r="A134" s="233">
        <v>133</v>
      </c>
      <c r="B134" s="185">
        <v>48</v>
      </c>
      <c r="C134" s="185" t="s">
        <v>3020</v>
      </c>
      <c r="D134" s="185" t="s">
        <v>1417</v>
      </c>
      <c r="E134" s="249" t="s">
        <v>3132</v>
      </c>
      <c r="F134" s="241" t="s">
        <v>1712</v>
      </c>
      <c r="G134" s="233" t="s">
        <v>1714</v>
      </c>
      <c r="H134" s="233" t="s">
        <v>1714</v>
      </c>
      <c r="I134" s="238">
        <v>57716286</v>
      </c>
      <c r="L134" s="229">
        <v>57716286</v>
      </c>
      <c r="N134" s="229" t="s">
        <v>17</v>
      </c>
      <c r="U134">
        <v>4006</v>
      </c>
    </row>
    <row r="135" spans="1:21">
      <c r="A135" s="233">
        <v>134</v>
      </c>
      <c r="B135" s="185">
        <v>48</v>
      </c>
      <c r="C135" s="185" t="s">
        <v>298</v>
      </c>
      <c r="D135" s="185" t="s">
        <v>1417</v>
      </c>
      <c r="E135" s="249" t="s">
        <v>2900</v>
      </c>
      <c r="F135" s="241" t="s">
        <v>1715</v>
      </c>
      <c r="G135" s="233" t="s">
        <v>1716</v>
      </c>
      <c r="H135" s="233" t="s">
        <v>1716</v>
      </c>
      <c r="I135" s="238">
        <v>217374216</v>
      </c>
      <c r="L135" s="229">
        <v>217374216</v>
      </c>
      <c r="N135" s="229" t="s">
        <v>17</v>
      </c>
      <c r="U135">
        <v>4006</v>
      </c>
    </row>
    <row r="136" spans="1:21">
      <c r="A136" s="233">
        <v>135</v>
      </c>
      <c r="B136" s="185">
        <v>21</v>
      </c>
      <c r="C136" s="185" t="s">
        <v>298</v>
      </c>
      <c r="D136" s="185" t="s">
        <v>2241</v>
      </c>
      <c r="E136" s="249" t="s">
        <v>2901</v>
      </c>
      <c r="F136" s="241" t="s">
        <v>1798</v>
      </c>
      <c r="G136" s="233" t="s">
        <v>1799</v>
      </c>
      <c r="H136" s="233" t="s">
        <v>1800</v>
      </c>
      <c r="I136" s="238">
        <v>19439412</v>
      </c>
      <c r="L136" s="229">
        <v>12601438.439999999</v>
      </c>
      <c r="N136" s="229" t="s">
        <v>17</v>
      </c>
      <c r="U136">
        <v>4006</v>
      </c>
    </row>
    <row r="137" spans="1:21">
      <c r="A137" s="233">
        <v>136</v>
      </c>
      <c r="B137" s="185">
        <v>100</v>
      </c>
      <c r="C137" s="185" t="s">
        <v>298</v>
      </c>
      <c r="D137" s="185" t="s">
        <v>160</v>
      </c>
      <c r="E137" s="249" t="s">
        <v>2902</v>
      </c>
      <c r="F137" s="241" t="s">
        <v>1861</v>
      </c>
      <c r="G137" s="233" t="s">
        <v>1856</v>
      </c>
      <c r="H137" s="233" t="s">
        <v>1856</v>
      </c>
      <c r="I137" s="238">
        <v>89169815</v>
      </c>
      <c r="L137" s="229">
        <v>237861390.13999999</v>
      </c>
      <c r="N137" s="229" t="s">
        <v>17</v>
      </c>
      <c r="U137">
        <v>4006</v>
      </c>
    </row>
    <row r="138" spans="1:21">
      <c r="A138" s="233">
        <v>137</v>
      </c>
      <c r="B138" s="185">
        <v>44</v>
      </c>
      <c r="C138" s="185" t="s">
        <v>298</v>
      </c>
      <c r="D138" s="185" t="s">
        <v>1664</v>
      </c>
      <c r="E138" s="249" t="s">
        <v>2903</v>
      </c>
      <c r="F138" s="241" t="s">
        <v>1706</v>
      </c>
      <c r="G138" s="233" t="s">
        <v>1707</v>
      </c>
      <c r="H138" s="233" t="s">
        <v>1707</v>
      </c>
      <c r="I138" s="238">
        <v>662398084</v>
      </c>
      <c r="L138" s="229">
        <v>783841225.51999998</v>
      </c>
      <c r="N138" s="229" t="s">
        <v>17</v>
      </c>
      <c r="U138">
        <v>4006</v>
      </c>
    </row>
    <row r="139" spans="1:21">
      <c r="A139" s="233">
        <v>138</v>
      </c>
      <c r="B139" s="185">
        <v>100</v>
      </c>
      <c r="C139" s="185" t="s">
        <v>3020</v>
      </c>
      <c r="D139" s="185" t="s">
        <v>160</v>
      </c>
      <c r="E139" s="249" t="s">
        <v>3133</v>
      </c>
      <c r="F139" s="241" t="s">
        <v>1862</v>
      </c>
      <c r="G139" s="233" t="s">
        <v>1863</v>
      </c>
      <c r="H139" s="233" t="s">
        <v>1864</v>
      </c>
      <c r="I139" s="238">
        <v>37978047</v>
      </c>
      <c r="L139" s="229">
        <v>33648852.539999999</v>
      </c>
      <c r="N139" s="229" t="s">
        <v>17</v>
      </c>
      <c r="U139">
        <v>4006</v>
      </c>
    </row>
    <row r="140" spans="1:21">
      <c r="A140" s="233">
        <v>139</v>
      </c>
      <c r="B140" s="185">
        <v>99</v>
      </c>
      <c r="C140" s="185" t="s">
        <v>3020</v>
      </c>
      <c r="D140" s="185" t="s">
        <v>159</v>
      </c>
      <c r="E140" s="249" t="s">
        <v>3134</v>
      </c>
      <c r="F140" s="241" t="s">
        <v>1852</v>
      </c>
      <c r="G140" s="233" t="s">
        <v>1853</v>
      </c>
      <c r="H140" s="233" t="s">
        <v>1853</v>
      </c>
      <c r="I140" s="238">
        <v>37978047</v>
      </c>
      <c r="L140" s="229">
        <v>37896666.68</v>
      </c>
      <c r="N140" s="229" t="s">
        <v>17</v>
      </c>
      <c r="U140">
        <v>4006</v>
      </c>
    </row>
    <row r="141" spans="1:21">
      <c r="A141" s="233">
        <v>140</v>
      </c>
      <c r="B141" s="185">
        <v>75</v>
      </c>
      <c r="C141" s="185" t="s">
        <v>3020</v>
      </c>
      <c r="D141" s="185" t="s">
        <v>1429</v>
      </c>
      <c r="E141" s="249" t="s">
        <v>3135</v>
      </c>
      <c r="F141" s="185" t="s">
        <v>1875</v>
      </c>
      <c r="G141" s="233" t="s">
        <v>1876</v>
      </c>
      <c r="H141" s="233" t="s">
        <v>1876</v>
      </c>
      <c r="I141" s="238">
        <v>28876959</v>
      </c>
      <c r="L141" s="229">
        <v>28974278.699999999</v>
      </c>
      <c r="N141" s="229" t="s">
        <v>17</v>
      </c>
      <c r="U141">
        <v>4006</v>
      </c>
    </row>
    <row r="142" spans="1:21">
      <c r="A142" s="233">
        <v>141</v>
      </c>
      <c r="B142" s="185">
        <v>99</v>
      </c>
      <c r="C142" s="185" t="s">
        <v>298</v>
      </c>
      <c r="D142" s="185" t="s">
        <v>159</v>
      </c>
      <c r="E142" s="249" t="s">
        <v>2904</v>
      </c>
      <c r="F142" s="185" t="s">
        <v>1855</v>
      </c>
      <c r="G142" s="233" t="s">
        <v>1856</v>
      </c>
      <c r="H142" s="233" t="s">
        <v>1856</v>
      </c>
      <c r="I142" s="238">
        <v>429177557</v>
      </c>
      <c r="L142" s="229">
        <v>470982792.27999997</v>
      </c>
      <c r="N142" s="229" t="s">
        <v>17</v>
      </c>
      <c r="U142">
        <v>4006</v>
      </c>
    </row>
    <row r="143" spans="1:21">
      <c r="A143" s="233">
        <v>142</v>
      </c>
      <c r="B143" s="185">
        <v>49</v>
      </c>
      <c r="C143" s="185" t="s">
        <v>298</v>
      </c>
      <c r="D143" s="185" t="s">
        <v>1153</v>
      </c>
      <c r="E143" s="249" t="s">
        <v>2905</v>
      </c>
      <c r="F143" s="185" t="s">
        <v>1709</v>
      </c>
      <c r="G143" s="233" t="s">
        <v>1710</v>
      </c>
      <c r="H143" s="233" t="s">
        <v>1710</v>
      </c>
      <c r="I143" s="238">
        <v>204894484</v>
      </c>
      <c r="L143" s="229">
        <v>204894483.75</v>
      </c>
      <c r="N143" s="229" t="s">
        <v>17</v>
      </c>
      <c r="U143">
        <v>4006</v>
      </c>
    </row>
    <row r="144" spans="1:21">
      <c r="A144" s="233">
        <v>143</v>
      </c>
      <c r="B144" s="185">
        <v>147</v>
      </c>
      <c r="C144" s="185" t="s">
        <v>298</v>
      </c>
      <c r="D144" s="185" t="s">
        <v>1936</v>
      </c>
      <c r="E144" s="249" t="s">
        <v>2906</v>
      </c>
      <c r="F144" s="185" t="s">
        <v>1937</v>
      </c>
      <c r="G144" s="233" t="s">
        <v>1938</v>
      </c>
      <c r="H144" s="233" t="s">
        <v>1939</v>
      </c>
      <c r="I144" s="238">
        <v>2820974</v>
      </c>
      <c r="L144" s="229">
        <v>3151574.39</v>
      </c>
      <c r="N144" s="229" t="s">
        <v>497</v>
      </c>
      <c r="U144">
        <v>4006</v>
      </c>
    </row>
    <row r="145" spans="1:21">
      <c r="A145" s="233">
        <v>144</v>
      </c>
      <c r="B145" s="185">
        <v>76</v>
      </c>
      <c r="C145" s="185" t="s">
        <v>166</v>
      </c>
      <c r="D145" s="185" t="s">
        <v>1428</v>
      </c>
      <c r="E145" s="249" t="s">
        <v>2907</v>
      </c>
      <c r="F145" s="185" t="s">
        <v>1890</v>
      </c>
      <c r="G145" s="233" t="s">
        <v>1889</v>
      </c>
      <c r="H145" s="233" t="s">
        <v>1889</v>
      </c>
      <c r="I145" s="238">
        <v>201543637</v>
      </c>
      <c r="L145" s="229">
        <v>218994108</v>
      </c>
      <c r="N145" s="229" t="s">
        <v>17</v>
      </c>
      <c r="U145">
        <v>4006</v>
      </c>
    </row>
    <row r="146" spans="1:21">
      <c r="A146" s="233">
        <v>145</v>
      </c>
      <c r="B146" s="185">
        <v>76</v>
      </c>
      <c r="C146" s="185" t="s">
        <v>1887</v>
      </c>
      <c r="D146" s="185" t="s">
        <v>1428</v>
      </c>
      <c r="E146" s="249" t="s">
        <v>2908</v>
      </c>
      <c r="F146" s="185" t="s">
        <v>1888</v>
      </c>
      <c r="G146" s="233" t="s">
        <v>1889</v>
      </c>
      <c r="H146" s="233" t="s">
        <v>1889</v>
      </c>
      <c r="I146" s="238">
        <v>122597776</v>
      </c>
      <c r="L146" s="229">
        <v>115014464.63</v>
      </c>
      <c r="N146" s="229" t="s">
        <v>17</v>
      </c>
      <c r="U146">
        <v>4006</v>
      </c>
    </row>
    <row r="147" spans="1:21">
      <c r="A147" s="233">
        <v>146</v>
      </c>
      <c r="B147" s="185">
        <v>48</v>
      </c>
      <c r="C147" s="185" t="s">
        <v>298</v>
      </c>
      <c r="D147" s="185" t="s">
        <v>1417</v>
      </c>
      <c r="E147" s="249" t="s">
        <v>2909</v>
      </c>
      <c r="F147" s="185" t="s">
        <v>2698</v>
      </c>
      <c r="G147" s="233" t="s">
        <v>1713</v>
      </c>
      <c r="H147" s="233" t="s">
        <v>1713</v>
      </c>
      <c r="I147" s="238">
        <v>108780025</v>
      </c>
      <c r="L147" s="229">
        <v>115729664.90000001</v>
      </c>
      <c r="N147" s="229" t="s">
        <v>73</v>
      </c>
      <c r="U147">
        <v>4006</v>
      </c>
    </row>
    <row r="148" spans="1:21">
      <c r="A148" s="233">
        <v>147</v>
      </c>
      <c r="B148" s="185">
        <v>36</v>
      </c>
      <c r="C148" s="185" t="s">
        <v>0</v>
      </c>
      <c r="D148" s="185" t="s">
        <v>2670</v>
      </c>
      <c r="E148" s="249" t="s">
        <v>3136</v>
      </c>
      <c r="F148" s="185" t="s">
        <v>2022</v>
      </c>
      <c r="G148" s="233" t="s">
        <v>2023</v>
      </c>
      <c r="H148" s="233" t="s">
        <v>2024</v>
      </c>
      <c r="I148" s="238">
        <v>1135427087</v>
      </c>
      <c r="L148" s="229">
        <v>1152994086.6700001</v>
      </c>
      <c r="N148" s="229" t="s">
        <v>17</v>
      </c>
      <c r="U148">
        <v>4006</v>
      </c>
    </row>
    <row r="149" spans="1:21">
      <c r="A149" s="233">
        <v>148</v>
      </c>
      <c r="B149" s="185">
        <v>79</v>
      </c>
      <c r="C149" s="185" t="s">
        <v>1121</v>
      </c>
      <c r="D149" s="185" t="s">
        <v>1592</v>
      </c>
      <c r="E149" s="249" t="s">
        <v>2910</v>
      </c>
      <c r="F149" s="185" t="s">
        <v>1934</v>
      </c>
      <c r="G149" s="233" t="s">
        <v>1935</v>
      </c>
      <c r="H149" s="233" t="s">
        <v>1935</v>
      </c>
      <c r="I149" s="238">
        <v>12693101</v>
      </c>
      <c r="L149" s="229">
        <v>12888701</v>
      </c>
      <c r="N149" s="229" t="s">
        <v>73</v>
      </c>
      <c r="U149">
        <v>4006</v>
      </c>
    </row>
    <row r="150" spans="1:21">
      <c r="A150" s="233">
        <v>149</v>
      </c>
      <c r="B150" s="185">
        <v>135</v>
      </c>
      <c r="C150" s="185" t="s">
        <v>3020</v>
      </c>
      <c r="D150" s="185" t="s">
        <v>1734</v>
      </c>
      <c r="E150" s="249" t="s">
        <v>3137</v>
      </c>
      <c r="F150" s="241" t="s">
        <v>1738</v>
      </c>
      <c r="G150" s="233" t="s">
        <v>1739</v>
      </c>
      <c r="H150" s="233" t="s">
        <v>1739</v>
      </c>
      <c r="I150" s="238">
        <v>9423329760</v>
      </c>
      <c r="L150" s="229">
        <v>10609052803</v>
      </c>
      <c r="N150" s="229" t="s">
        <v>1740</v>
      </c>
      <c r="U150">
        <v>4006</v>
      </c>
    </row>
    <row r="151" spans="1:21">
      <c r="A151" s="233">
        <v>150</v>
      </c>
      <c r="B151" s="185">
        <v>136</v>
      </c>
      <c r="C151" s="185" t="s">
        <v>3020</v>
      </c>
      <c r="D151" s="185" t="s">
        <v>1759</v>
      </c>
      <c r="E151" s="249" t="s">
        <v>3138</v>
      </c>
      <c r="F151" s="241" t="s">
        <v>1760</v>
      </c>
      <c r="G151" s="233" t="s">
        <v>1761</v>
      </c>
      <c r="H151" s="233" t="s">
        <v>1761</v>
      </c>
      <c r="I151" s="238">
        <v>4573387786</v>
      </c>
      <c r="L151" s="229">
        <v>5354229510</v>
      </c>
      <c r="N151" s="229" t="s">
        <v>17</v>
      </c>
      <c r="U151">
        <v>4006</v>
      </c>
    </row>
    <row r="152" spans="1:21">
      <c r="A152" s="233">
        <v>151</v>
      </c>
      <c r="B152" s="185">
        <v>153</v>
      </c>
      <c r="C152" s="185" t="s">
        <v>298</v>
      </c>
      <c r="D152" s="185" t="s">
        <v>1789</v>
      </c>
      <c r="E152" s="249" t="s">
        <v>2911</v>
      </c>
      <c r="F152" s="185" t="s">
        <v>1790</v>
      </c>
      <c r="G152" s="233" t="s">
        <v>1791</v>
      </c>
      <c r="H152" s="233" t="s">
        <v>1791</v>
      </c>
      <c r="I152" s="238">
        <v>3900000</v>
      </c>
      <c r="L152" s="229">
        <v>4323176.2</v>
      </c>
      <c r="N152" s="229" t="s">
        <v>17</v>
      </c>
      <c r="U152">
        <v>4006</v>
      </c>
    </row>
    <row r="153" spans="1:21">
      <c r="A153" s="233">
        <v>152</v>
      </c>
      <c r="B153" s="185">
        <v>59</v>
      </c>
      <c r="C153" s="185" t="s">
        <v>3020</v>
      </c>
      <c r="D153" s="185" t="s">
        <v>1443</v>
      </c>
      <c r="E153" s="249" t="s">
        <v>3139</v>
      </c>
      <c r="F153" s="185" t="s">
        <v>1784</v>
      </c>
      <c r="G153" s="233" t="s">
        <v>1785</v>
      </c>
      <c r="H153" s="233" t="s">
        <v>1785</v>
      </c>
      <c r="I153" s="238">
        <v>102481336</v>
      </c>
      <c r="L153" s="229">
        <v>109123226</v>
      </c>
      <c r="N153" s="229" t="s">
        <v>73</v>
      </c>
      <c r="U153">
        <v>4006</v>
      </c>
    </row>
    <row r="154" spans="1:21">
      <c r="A154" s="233">
        <v>153</v>
      </c>
      <c r="B154" s="185">
        <v>59</v>
      </c>
      <c r="C154" s="185" t="s">
        <v>3020</v>
      </c>
      <c r="D154" s="185" t="s">
        <v>1443</v>
      </c>
      <c r="E154" s="249" t="s">
        <v>3140</v>
      </c>
      <c r="F154" s="185" t="s">
        <v>1787</v>
      </c>
      <c r="G154" s="233" t="s">
        <v>1788</v>
      </c>
      <c r="H154" s="233" t="s">
        <v>1788</v>
      </c>
      <c r="I154" s="238">
        <v>20230814</v>
      </c>
      <c r="L154" s="229">
        <v>66795646</v>
      </c>
      <c r="N154" s="229" t="s">
        <v>17</v>
      </c>
      <c r="U154">
        <v>4006</v>
      </c>
    </row>
    <row r="155" spans="1:21">
      <c r="A155" s="233">
        <v>154</v>
      </c>
      <c r="B155" s="185">
        <v>59</v>
      </c>
      <c r="C155" s="185" t="s">
        <v>298</v>
      </c>
      <c r="D155" s="185" t="s">
        <v>1443</v>
      </c>
      <c r="E155" s="249" t="s">
        <v>2912</v>
      </c>
      <c r="F155" s="185" t="s">
        <v>1780</v>
      </c>
      <c r="G155" s="233" t="s">
        <v>1781</v>
      </c>
      <c r="H155" s="233" t="s">
        <v>1782</v>
      </c>
      <c r="I155" s="238">
        <v>47106580</v>
      </c>
      <c r="L155" s="229">
        <v>47106579.600000001</v>
      </c>
      <c r="N155" s="229" t="s">
        <v>48</v>
      </c>
      <c r="U155">
        <v>4006</v>
      </c>
    </row>
    <row r="156" spans="1:21">
      <c r="A156" s="233">
        <v>155</v>
      </c>
      <c r="B156" s="185">
        <v>59</v>
      </c>
      <c r="C156" s="185" t="s">
        <v>3020</v>
      </c>
      <c r="D156" s="185" t="s">
        <v>1443</v>
      </c>
      <c r="E156" s="249" t="s">
        <v>3141</v>
      </c>
      <c r="F156" s="185" t="s">
        <v>1786</v>
      </c>
      <c r="G156" s="233" t="s">
        <v>1781</v>
      </c>
      <c r="H156" s="233" t="s">
        <v>1781</v>
      </c>
      <c r="I156" s="238">
        <v>39700000</v>
      </c>
      <c r="L156" s="229">
        <v>39620000</v>
      </c>
      <c r="N156" s="229" t="s">
        <v>48</v>
      </c>
      <c r="U156">
        <v>4006</v>
      </c>
    </row>
    <row r="157" spans="1:21">
      <c r="A157" s="233">
        <v>156</v>
      </c>
      <c r="B157" s="185">
        <v>135</v>
      </c>
      <c r="C157" s="185" t="s">
        <v>3020</v>
      </c>
      <c r="D157" s="185" t="s">
        <v>1734</v>
      </c>
      <c r="E157" s="249" t="s">
        <v>3142</v>
      </c>
      <c r="F157" s="241" t="s">
        <v>3021</v>
      </c>
      <c r="G157" s="233" t="s">
        <v>1735</v>
      </c>
      <c r="H157" s="233" t="s">
        <v>1735</v>
      </c>
      <c r="I157" s="238">
        <v>216419265</v>
      </c>
      <c r="L157" s="229">
        <v>218252086</v>
      </c>
      <c r="N157" s="229" t="s">
        <v>48</v>
      </c>
      <c r="U157">
        <v>4006</v>
      </c>
    </row>
    <row r="158" spans="1:21">
      <c r="A158" s="233">
        <v>157</v>
      </c>
      <c r="B158" s="185">
        <v>14</v>
      </c>
      <c r="C158" s="185" t="s">
        <v>3020</v>
      </c>
      <c r="D158" s="185" t="s">
        <v>2240</v>
      </c>
      <c r="E158" s="249" t="s">
        <v>3143</v>
      </c>
      <c r="F158" s="185" t="s">
        <v>2699</v>
      </c>
      <c r="G158" s="233" t="s">
        <v>2000</v>
      </c>
      <c r="H158" s="233" t="s">
        <v>2000</v>
      </c>
      <c r="I158" s="238">
        <v>161081929</v>
      </c>
      <c r="L158" s="229">
        <v>183466147.97999999</v>
      </c>
      <c r="N158" s="229" t="s">
        <v>17</v>
      </c>
      <c r="U158">
        <v>4006</v>
      </c>
    </row>
    <row r="159" spans="1:21">
      <c r="A159" s="233">
        <v>158</v>
      </c>
      <c r="B159" s="185">
        <v>65</v>
      </c>
      <c r="C159" s="185" t="s">
        <v>3020</v>
      </c>
      <c r="D159" s="185" t="s">
        <v>1381</v>
      </c>
      <c r="E159" s="249" t="s">
        <v>3144</v>
      </c>
      <c r="F159" s="241" t="s">
        <v>2701</v>
      </c>
      <c r="G159" s="233" t="s">
        <v>1806</v>
      </c>
      <c r="H159" s="233" t="s">
        <v>1806</v>
      </c>
      <c r="I159" s="238">
        <v>2139450409</v>
      </c>
      <c r="L159" s="229">
        <v>1073370409</v>
      </c>
      <c r="N159" s="229" t="s">
        <v>48</v>
      </c>
      <c r="U159">
        <v>4006</v>
      </c>
    </row>
    <row r="160" spans="1:21">
      <c r="A160" s="233">
        <v>159</v>
      </c>
      <c r="B160" s="185">
        <v>99</v>
      </c>
      <c r="C160" s="185" t="s">
        <v>298</v>
      </c>
      <c r="D160" s="185" t="s">
        <v>159</v>
      </c>
      <c r="E160" s="249" t="s">
        <v>2798</v>
      </c>
      <c r="F160" s="185" t="s">
        <v>1858</v>
      </c>
      <c r="G160" s="233" t="s">
        <v>1859</v>
      </c>
      <c r="H160" s="233" t="s">
        <v>1859</v>
      </c>
      <c r="I160" s="238">
        <v>287452049</v>
      </c>
      <c r="L160" s="229">
        <v>290517500.88999999</v>
      </c>
      <c r="N160" s="229" t="s">
        <v>48</v>
      </c>
      <c r="U160">
        <v>4006</v>
      </c>
    </row>
    <row r="161" spans="1:21">
      <c r="A161" s="233">
        <v>160</v>
      </c>
      <c r="B161" s="185">
        <v>152</v>
      </c>
      <c r="C161" s="185" t="s">
        <v>298</v>
      </c>
      <c r="D161" s="185" t="s">
        <v>2673</v>
      </c>
      <c r="E161" s="249" t="s">
        <v>2799</v>
      </c>
      <c r="F161" s="185" t="s">
        <v>1919</v>
      </c>
      <c r="G161" s="233" t="s">
        <v>1920</v>
      </c>
      <c r="H161" s="233" t="s">
        <v>1921</v>
      </c>
      <c r="I161" s="238">
        <v>12919512</v>
      </c>
      <c r="L161" s="229">
        <v>12939512</v>
      </c>
      <c r="N161" s="229" t="s">
        <v>48</v>
      </c>
      <c r="U161">
        <v>4006</v>
      </c>
    </row>
    <row r="162" spans="1:21">
      <c r="A162" s="233">
        <v>161</v>
      </c>
      <c r="B162" s="185">
        <v>137</v>
      </c>
      <c r="C162" s="185" t="s">
        <v>1248</v>
      </c>
      <c r="D162" s="185" t="s">
        <v>735</v>
      </c>
      <c r="E162" s="249" t="s">
        <v>2800</v>
      </c>
      <c r="F162" s="185" t="s">
        <v>2700</v>
      </c>
      <c r="G162" s="233" t="s">
        <v>1941</v>
      </c>
      <c r="H162" s="233" t="s">
        <v>1942</v>
      </c>
      <c r="I162" s="238">
        <v>36853084</v>
      </c>
      <c r="L162" s="229">
        <v>36853084</v>
      </c>
      <c r="N162" s="229" t="s">
        <v>48</v>
      </c>
      <c r="U162">
        <v>4006</v>
      </c>
    </row>
    <row r="163" spans="1:21">
      <c r="A163" s="233">
        <v>162</v>
      </c>
      <c r="B163" s="185">
        <v>75</v>
      </c>
      <c r="C163" s="185" t="s">
        <v>3020</v>
      </c>
      <c r="D163" s="185" t="s">
        <v>1429</v>
      </c>
      <c r="E163" s="249" t="s">
        <v>3145</v>
      </c>
      <c r="F163" s="185" t="s">
        <v>1873</v>
      </c>
      <c r="G163" s="233" t="s">
        <v>1874</v>
      </c>
      <c r="H163" s="233" t="s">
        <v>1874</v>
      </c>
      <c r="I163" s="238">
        <v>91965118</v>
      </c>
      <c r="L163" s="229">
        <v>92498617.549999997</v>
      </c>
      <c r="N163" s="229" t="s">
        <v>48</v>
      </c>
      <c r="U163">
        <v>4006</v>
      </c>
    </row>
    <row r="164" spans="1:21">
      <c r="A164" s="233">
        <v>163</v>
      </c>
      <c r="B164" s="185">
        <v>135</v>
      </c>
      <c r="C164" s="185" t="s">
        <v>3020</v>
      </c>
      <c r="D164" s="185" t="s">
        <v>1734</v>
      </c>
      <c r="E164" s="249" t="s">
        <v>3146</v>
      </c>
      <c r="F164" s="185" t="s">
        <v>1736</v>
      </c>
      <c r="G164" s="233" t="s">
        <v>1737</v>
      </c>
      <c r="H164" s="233" t="s">
        <v>1737</v>
      </c>
      <c r="I164" s="238">
        <v>834135214</v>
      </c>
      <c r="L164" s="229">
        <v>834135214</v>
      </c>
      <c r="N164" s="229" t="s">
        <v>48</v>
      </c>
      <c r="U164">
        <v>4006</v>
      </c>
    </row>
    <row r="165" spans="1:21">
      <c r="A165" s="233">
        <v>164</v>
      </c>
      <c r="B165" s="185">
        <v>76</v>
      </c>
      <c r="C165" s="185" t="s">
        <v>3020</v>
      </c>
      <c r="D165" s="185" t="s">
        <v>1428</v>
      </c>
      <c r="E165" s="249" t="s">
        <v>3147</v>
      </c>
      <c r="F165" s="185" t="s">
        <v>1891</v>
      </c>
      <c r="G165" s="233" t="s">
        <v>1892</v>
      </c>
      <c r="H165" s="233" t="s">
        <v>1892</v>
      </c>
      <c r="I165" s="238">
        <v>76216086</v>
      </c>
      <c r="L165" s="229">
        <v>76236086.180000007</v>
      </c>
      <c r="N165" s="229" t="s">
        <v>73</v>
      </c>
      <c r="U165">
        <v>4006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65"/>
  <sheetViews>
    <sheetView topLeftCell="A143" workbookViewId="0">
      <selection activeCell="E2" sqref="E2:E165"/>
    </sheetView>
  </sheetViews>
  <sheetFormatPr defaultRowHeight="15"/>
  <cols>
    <col min="1" max="1" width="3" bestFit="1" customWidth="1"/>
    <col min="2" max="2" width="36" bestFit="1" customWidth="1"/>
    <col min="4" max="4" width="4" bestFit="1" customWidth="1"/>
    <col min="5" max="5" width="42.7109375" bestFit="1" customWidth="1"/>
  </cols>
  <sheetData>
    <row r="1" spans="1:5">
      <c r="B1" t="s">
        <v>2713</v>
      </c>
      <c r="E1" t="s">
        <v>2714</v>
      </c>
    </row>
    <row r="2" spans="1:5">
      <c r="A2" s="233">
        <v>1</v>
      </c>
      <c r="B2" s="185" t="s">
        <v>973</v>
      </c>
      <c r="D2">
        <v>1</v>
      </c>
      <c r="E2" s="185" t="s">
        <v>2674</v>
      </c>
    </row>
    <row r="3" spans="1:5">
      <c r="A3" s="233">
        <v>2</v>
      </c>
      <c r="B3" s="185" t="s">
        <v>623</v>
      </c>
      <c r="D3">
        <v>2</v>
      </c>
      <c r="E3" s="185" t="s">
        <v>2674</v>
      </c>
    </row>
    <row r="4" spans="1:5">
      <c r="A4" s="233">
        <v>3</v>
      </c>
      <c r="B4" s="185" t="s">
        <v>623</v>
      </c>
      <c r="D4">
        <v>3</v>
      </c>
      <c r="E4" s="185" t="s">
        <v>2675</v>
      </c>
    </row>
    <row r="5" spans="1:5">
      <c r="A5" s="233">
        <v>4</v>
      </c>
      <c r="B5" s="185" t="s">
        <v>623</v>
      </c>
      <c r="D5">
        <v>4</v>
      </c>
      <c r="E5" s="185" t="s">
        <v>299</v>
      </c>
    </row>
    <row r="6" spans="1:5">
      <c r="A6" s="233">
        <v>5</v>
      </c>
      <c r="B6" s="185" t="s">
        <v>1085</v>
      </c>
      <c r="D6">
        <v>5</v>
      </c>
      <c r="E6" s="185" t="s">
        <v>18</v>
      </c>
    </row>
    <row r="7" spans="1:5">
      <c r="A7" s="233">
        <v>6</v>
      </c>
      <c r="B7" s="185" t="s">
        <v>1066</v>
      </c>
      <c r="D7">
        <v>6</v>
      </c>
      <c r="E7" s="185" t="s">
        <v>455</v>
      </c>
    </row>
    <row r="8" spans="1:5">
      <c r="A8" s="233">
        <v>7</v>
      </c>
      <c r="B8" s="185" t="s">
        <v>1688</v>
      </c>
      <c r="D8">
        <v>7</v>
      </c>
      <c r="E8" s="185" t="s">
        <v>455</v>
      </c>
    </row>
    <row r="9" spans="1:5">
      <c r="A9" s="233">
        <v>8</v>
      </c>
      <c r="B9" s="185" t="s">
        <v>2239</v>
      </c>
      <c r="D9">
        <v>8</v>
      </c>
      <c r="E9" s="185" t="s">
        <v>1750</v>
      </c>
    </row>
    <row r="10" spans="1:5">
      <c r="A10" s="233">
        <v>9</v>
      </c>
      <c r="B10" s="185" t="s">
        <v>1682</v>
      </c>
      <c r="D10">
        <v>9</v>
      </c>
      <c r="E10" s="185" t="s">
        <v>2676</v>
      </c>
    </row>
    <row r="11" spans="1:5">
      <c r="A11" s="233">
        <v>10</v>
      </c>
      <c r="B11" s="185" t="s">
        <v>1641</v>
      </c>
      <c r="D11">
        <v>10</v>
      </c>
      <c r="E11" s="185" t="s">
        <v>367</v>
      </c>
    </row>
    <row r="12" spans="1:5">
      <c r="A12" s="233">
        <v>11</v>
      </c>
      <c r="B12" s="185" t="s">
        <v>1681</v>
      </c>
      <c r="D12">
        <v>11</v>
      </c>
      <c r="E12" s="185" t="s">
        <v>367</v>
      </c>
    </row>
    <row r="13" spans="1:5">
      <c r="A13" s="233">
        <v>12</v>
      </c>
      <c r="B13" s="185" t="s">
        <v>2246</v>
      </c>
      <c r="D13">
        <v>12</v>
      </c>
      <c r="E13" s="185" t="s">
        <v>412</v>
      </c>
    </row>
    <row r="14" spans="1:5">
      <c r="A14" s="233">
        <v>13</v>
      </c>
      <c r="B14" s="185" t="s">
        <v>1682</v>
      </c>
      <c r="D14">
        <v>13</v>
      </c>
      <c r="E14" s="185" t="s">
        <v>412</v>
      </c>
    </row>
    <row r="15" spans="1:5">
      <c r="A15" s="233">
        <v>14</v>
      </c>
      <c r="B15" s="185" t="s">
        <v>1691</v>
      </c>
      <c r="D15">
        <v>14</v>
      </c>
      <c r="E15" s="185" t="s">
        <v>412</v>
      </c>
    </row>
    <row r="16" spans="1:5">
      <c r="A16" s="233">
        <v>15</v>
      </c>
      <c r="B16" s="185" t="s">
        <v>2246</v>
      </c>
      <c r="D16">
        <v>15</v>
      </c>
      <c r="E16" s="185" t="s">
        <v>412</v>
      </c>
    </row>
    <row r="17" spans="1:5">
      <c r="A17" s="233">
        <v>16</v>
      </c>
      <c r="B17" s="185" t="s">
        <v>1626</v>
      </c>
      <c r="D17">
        <v>16</v>
      </c>
      <c r="E17" s="185" t="s">
        <v>412</v>
      </c>
    </row>
    <row r="18" spans="1:5">
      <c r="A18" s="233">
        <v>17</v>
      </c>
      <c r="B18" s="185" t="s">
        <v>1689</v>
      </c>
      <c r="D18">
        <v>17</v>
      </c>
      <c r="E18" s="185" t="s">
        <v>412</v>
      </c>
    </row>
    <row r="19" spans="1:5">
      <c r="A19" s="233">
        <v>18</v>
      </c>
      <c r="B19" s="185" t="s">
        <v>1689</v>
      </c>
      <c r="D19">
        <v>18</v>
      </c>
      <c r="E19" s="185" t="s">
        <v>2495</v>
      </c>
    </row>
    <row r="20" spans="1:5">
      <c r="A20" s="233">
        <v>19</v>
      </c>
      <c r="B20" s="185" t="s">
        <v>980</v>
      </c>
      <c r="D20">
        <v>19</v>
      </c>
      <c r="E20" s="185" t="s">
        <v>461</v>
      </c>
    </row>
    <row r="21" spans="1:5">
      <c r="A21" s="233">
        <v>20</v>
      </c>
      <c r="B21" s="185" t="s">
        <v>1010</v>
      </c>
      <c r="D21">
        <v>20</v>
      </c>
      <c r="E21" s="185" t="s">
        <v>461</v>
      </c>
    </row>
    <row r="22" spans="1:5">
      <c r="A22" s="233">
        <v>21</v>
      </c>
      <c r="B22" s="185" t="s">
        <v>1690</v>
      </c>
      <c r="D22">
        <v>21</v>
      </c>
      <c r="E22" s="185" t="s">
        <v>461</v>
      </c>
    </row>
    <row r="23" spans="1:5">
      <c r="A23" s="233">
        <v>22</v>
      </c>
      <c r="B23" s="185" t="s">
        <v>970</v>
      </c>
      <c r="D23">
        <v>22</v>
      </c>
      <c r="E23" s="185" t="s">
        <v>328</v>
      </c>
    </row>
    <row r="24" spans="1:5">
      <c r="A24" s="233">
        <v>23</v>
      </c>
      <c r="B24" s="185" t="s">
        <v>126</v>
      </c>
      <c r="D24">
        <v>23</v>
      </c>
      <c r="E24" s="185" t="s">
        <v>2657</v>
      </c>
    </row>
    <row r="25" spans="1:5">
      <c r="A25" s="233">
        <v>24</v>
      </c>
      <c r="B25" s="185" t="s">
        <v>132</v>
      </c>
      <c r="D25">
        <v>24</v>
      </c>
      <c r="E25" s="185" t="s">
        <v>2657</v>
      </c>
    </row>
    <row r="26" spans="1:5">
      <c r="A26" s="233">
        <v>25</v>
      </c>
      <c r="B26" s="185" t="s">
        <v>132</v>
      </c>
      <c r="D26">
        <v>25</v>
      </c>
      <c r="E26" s="185" t="s">
        <v>2657</v>
      </c>
    </row>
    <row r="27" spans="1:5">
      <c r="A27" s="233">
        <v>26</v>
      </c>
      <c r="B27" s="185" t="s">
        <v>1622</v>
      </c>
      <c r="D27">
        <v>26</v>
      </c>
      <c r="E27" s="185" t="s">
        <v>1826</v>
      </c>
    </row>
    <row r="28" spans="1:5">
      <c r="A28" s="233">
        <v>27</v>
      </c>
      <c r="B28" s="185" t="s">
        <v>126</v>
      </c>
      <c r="D28">
        <v>27</v>
      </c>
      <c r="E28" s="185" t="s">
        <v>1849</v>
      </c>
    </row>
    <row r="29" spans="1:5">
      <c r="A29" s="233">
        <v>28</v>
      </c>
      <c r="B29" s="185" t="s">
        <v>1010</v>
      </c>
      <c r="D29">
        <v>28</v>
      </c>
      <c r="E29" s="185" t="s">
        <v>2678</v>
      </c>
    </row>
    <row r="30" spans="1:5">
      <c r="A30" s="233">
        <v>29</v>
      </c>
      <c r="B30" s="185" t="s">
        <v>1452</v>
      </c>
      <c r="D30">
        <v>29</v>
      </c>
      <c r="E30" s="185" t="s">
        <v>1877</v>
      </c>
    </row>
    <row r="31" spans="1:5">
      <c r="A31" s="233">
        <v>30</v>
      </c>
      <c r="B31" s="185" t="s">
        <v>1452</v>
      </c>
      <c r="D31">
        <v>30</v>
      </c>
      <c r="E31" s="185" t="s">
        <v>1877</v>
      </c>
    </row>
    <row r="32" spans="1:5">
      <c r="A32" s="233">
        <v>31</v>
      </c>
      <c r="B32" s="185" t="s">
        <v>2251</v>
      </c>
      <c r="D32">
        <v>31</v>
      </c>
      <c r="E32" s="185" t="s">
        <v>1877</v>
      </c>
    </row>
    <row r="33" spans="1:5">
      <c r="A33" s="233">
        <v>32</v>
      </c>
      <c r="B33" s="185" t="s">
        <v>1599</v>
      </c>
      <c r="D33">
        <v>32</v>
      </c>
      <c r="E33" s="185" t="s">
        <v>1877</v>
      </c>
    </row>
    <row r="34" spans="1:5">
      <c r="A34" s="233">
        <v>33</v>
      </c>
      <c r="B34" s="185" t="s">
        <v>2252</v>
      </c>
      <c r="D34">
        <v>33</v>
      </c>
      <c r="E34" s="185" t="s">
        <v>440</v>
      </c>
    </row>
    <row r="35" spans="1:5">
      <c r="A35" s="233">
        <v>34</v>
      </c>
      <c r="B35" s="185" t="s">
        <v>1622</v>
      </c>
      <c r="D35">
        <v>34</v>
      </c>
      <c r="E35" t="s">
        <v>2679</v>
      </c>
    </row>
    <row r="36" spans="1:5">
      <c r="A36" s="233">
        <v>35</v>
      </c>
      <c r="B36" s="185" t="s">
        <v>1602</v>
      </c>
      <c r="D36">
        <v>35</v>
      </c>
      <c r="E36" t="s">
        <v>1975</v>
      </c>
    </row>
    <row r="37" spans="1:5">
      <c r="A37" s="233">
        <v>36</v>
      </c>
      <c r="B37" s="185" t="s">
        <v>159</v>
      </c>
      <c r="D37">
        <v>36</v>
      </c>
      <c r="E37" t="s">
        <v>2677</v>
      </c>
    </row>
    <row r="38" spans="1:5">
      <c r="A38" s="233">
        <v>37</v>
      </c>
      <c r="B38" s="185" t="s">
        <v>1664</v>
      </c>
      <c r="D38">
        <v>37</v>
      </c>
      <c r="E38" t="s">
        <v>2677</v>
      </c>
    </row>
    <row r="39" spans="1:5">
      <c r="A39" s="233">
        <v>38</v>
      </c>
      <c r="B39" s="185" t="s">
        <v>527</v>
      </c>
      <c r="D39">
        <v>38</v>
      </c>
      <c r="E39" t="s">
        <v>2677</v>
      </c>
    </row>
    <row r="40" spans="1:5">
      <c r="A40" s="233">
        <v>39</v>
      </c>
      <c r="B40" s="185" t="s">
        <v>527</v>
      </c>
      <c r="D40">
        <v>39</v>
      </c>
      <c r="E40" t="s">
        <v>2677</v>
      </c>
    </row>
    <row r="41" spans="1:5">
      <c r="A41" s="233">
        <v>40</v>
      </c>
      <c r="B41" s="185" t="s">
        <v>160</v>
      </c>
      <c r="D41">
        <v>40</v>
      </c>
      <c r="E41" t="s">
        <v>2677</v>
      </c>
    </row>
    <row r="42" spans="1:5">
      <c r="A42" s="233">
        <v>41</v>
      </c>
      <c r="B42" s="185" t="s">
        <v>159</v>
      </c>
      <c r="D42">
        <v>41</v>
      </c>
      <c r="E42" t="s">
        <v>2677</v>
      </c>
    </row>
    <row r="43" spans="1:5">
      <c r="A43" s="233">
        <v>42</v>
      </c>
      <c r="B43" s="185" t="s">
        <v>126</v>
      </c>
      <c r="D43">
        <v>42</v>
      </c>
      <c r="E43" t="s">
        <v>389</v>
      </c>
    </row>
    <row r="44" spans="1:5">
      <c r="A44" s="233">
        <v>43</v>
      </c>
      <c r="B44" s="185" t="s">
        <v>1443</v>
      </c>
      <c r="D44">
        <v>43</v>
      </c>
      <c r="E44" t="s">
        <v>2659</v>
      </c>
    </row>
    <row r="45" spans="1:5">
      <c r="A45" s="233">
        <v>44</v>
      </c>
      <c r="B45" s="185" t="s">
        <v>132</v>
      </c>
      <c r="D45">
        <v>44</v>
      </c>
      <c r="E45" t="s">
        <v>395</v>
      </c>
    </row>
    <row r="46" spans="1:5">
      <c r="A46" s="233">
        <v>45</v>
      </c>
      <c r="B46" s="185" t="s">
        <v>1622</v>
      </c>
      <c r="D46">
        <v>45</v>
      </c>
      <c r="E46" t="s">
        <v>352</v>
      </c>
    </row>
    <row r="47" spans="1:5">
      <c r="A47" s="233">
        <v>46</v>
      </c>
      <c r="B47" s="185" t="s">
        <v>1153</v>
      </c>
      <c r="D47">
        <v>46</v>
      </c>
      <c r="E47" t="s">
        <v>397</v>
      </c>
    </row>
    <row r="48" spans="1:5">
      <c r="A48" s="233">
        <v>47</v>
      </c>
      <c r="B48" s="185" t="s">
        <v>1687</v>
      </c>
      <c r="D48">
        <v>47</v>
      </c>
      <c r="E48" t="s">
        <v>397</v>
      </c>
    </row>
    <row r="49" spans="1:5">
      <c r="A49" s="233">
        <v>48</v>
      </c>
      <c r="B49" s="185" t="s">
        <v>160</v>
      </c>
      <c r="D49">
        <v>48</v>
      </c>
      <c r="E49" t="s">
        <v>358</v>
      </c>
    </row>
    <row r="50" spans="1:5">
      <c r="A50" s="233">
        <v>49</v>
      </c>
      <c r="B50" s="185" t="s">
        <v>1665</v>
      </c>
      <c r="D50">
        <v>49</v>
      </c>
      <c r="E50" t="s">
        <v>402</v>
      </c>
    </row>
    <row r="51" spans="1:5">
      <c r="A51" s="233">
        <v>50</v>
      </c>
      <c r="B51" s="185" t="s">
        <v>1392</v>
      </c>
      <c r="D51">
        <v>50</v>
      </c>
      <c r="E51" t="s">
        <v>442</v>
      </c>
    </row>
    <row r="52" spans="1:5">
      <c r="A52" s="233">
        <v>51</v>
      </c>
      <c r="B52" s="185" t="s">
        <v>1439</v>
      </c>
      <c r="D52">
        <v>51</v>
      </c>
      <c r="E52" t="s">
        <v>442</v>
      </c>
    </row>
    <row r="53" spans="1:5">
      <c r="A53" s="233">
        <v>52</v>
      </c>
      <c r="B53" s="185" t="s">
        <v>2240</v>
      </c>
      <c r="D53">
        <v>52</v>
      </c>
      <c r="E53" t="s">
        <v>442</v>
      </c>
    </row>
    <row r="54" spans="1:5">
      <c r="A54" s="233">
        <v>53</v>
      </c>
      <c r="B54" s="185" t="s">
        <v>1389</v>
      </c>
      <c r="D54">
        <v>53</v>
      </c>
      <c r="E54" t="s">
        <v>442</v>
      </c>
    </row>
    <row r="55" spans="1:5">
      <c r="A55" s="233">
        <v>54</v>
      </c>
      <c r="B55" s="185" t="s">
        <v>1446</v>
      </c>
      <c r="D55">
        <v>54</v>
      </c>
      <c r="E55" t="s">
        <v>2660</v>
      </c>
    </row>
    <row r="56" spans="1:5">
      <c r="A56" s="233">
        <v>55</v>
      </c>
      <c r="B56" s="185" t="s">
        <v>1395</v>
      </c>
      <c r="D56">
        <v>55</v>
      </c>
      <c r="E56" t="s">
        <v>2660</v>
      </c>
    </row>
    <row r="57" spans="1:5">
      <c r="A57" s="233">
        <v>56</v>
      </c>
      <c r="B57" s="185" t="s">
        <v>1391</v>
      </c>
      <c r="D57">
        <v>56</v>
      </c>
      <c r="E57" t="s">
        <v>2660</v>
      </c>
    </row>
    <row r="58" spans="1:5">
      <c r="A58" s="233">
        <v>57</v>
      </c>
      <c r="B58" s="185" t="s">
        <v>1449</v>
      </c>
      <c r="D58">
        <v>57</v>
      </c>
      <c r="E58" t="s">
        <v>26</v>
      </c>
    </row>
    <row r="59" spans="1:5">
      <c r="A59" s="233">
        <v>58</v>
      </c>
      <c r="B59" s="185" t="s">
        <v>1403</v>
      </c>
      <c r="D59">
        <v>58</v>
      </c>
      <c r="E59" t="s">
        <v>472</v>
      </c>
    </row>
    <row r="60" spans="1:5">
      <c r="A60" s="233">
        <v>59</v>
      </c>
      <c r="B60" s="185" t="s">
        <v>1600</v>
      </c>
      <c r="D60">
        <v>59</v>
      </c>
      <c r="E60" t="s">
        <v>472</v>
      </c>
    </row>
    <row r="61" spans="1:5">
      <c r="A61" s="233">
        <v>60</v>
      </c>
      <c r="B61" s="185" t="s">
        <v>1600</v>
      </c>
      <c r="D61">
        <v>60</v>
      </c>
      <c r="E61" t="s">
        <v>477</v>
      </c>
    </row>
    <row r="62" spans="1:5">
      <c r="A62" s="233">
        <v>61</v>
      </c>
      <c r="B62" s="185" t="s">
        <v>1403</v>
      </c>
      <c r="D62">
        <v>61</v>
      </c>
      <c r="E62" t="s">
        <v>477</v>
      </c>
    </row>
    <row r="63" spans="1:5">
      <c r="A63" s="233">
        <v>62</v>
      </c>
      <c r="B63" s="185" t="s">
        <v>1019</v>
      </c>
      <c r="D63">
        <v>62</v>
      </c>
      <c r="E63" t="s">
        <v>1425</v>
      </c>
    </row>
    <row r="64" spans="1:5">
      <c r="A64" s="233">
        <v>63</v>
      </c>
      <c r="B64" s="185" t="s">
        <v>1666</v>
      </c>
      <c r="D64">
        <v>63</v>
      </c>
      <c r="E64" t="s">
        <v>1688</v>
      </c>
    </row>
    <row r="65" spans="1:5">
      <c r="A65" s="233">
        <v>64</v>
      </c>
      <c r="B65" s="185" t="s">
        <v>1605</v>
      </c>
      <c r="D65">
        <v>64</v>
      </c>
      <c r="E65" t="s">
        <v>1691</v>
      </c>
    </row>
    <row r="66" spans="1:5">
      <c r="A66" s="233">
        <v>65</v>
      </c>
      <c r="B66" s="185" t="s">
        <v>2250</v>
      </c>
      <c r="D66">
        <v>65</v>
      </c>
      <c r="E66" t="s">
        <v>1691</v>
      </c>
    </row>
    <row r="67" spans="1:5">
      <c r="A67" s="233">
        <v>66</v>
      </c>
      <c r="B67" s="185" t="s">
        <v>1403</v>
      </c>
      <c r="D67">
        <v>66</v>
      </c>
      <c r="E67" t="s">
        <v>1582</v>
      </c>
    </row>
    <row r="68" spans="1:5">
      <c r="A68" s="233">
        <v>67</v>
      </c>
      <c r="B68" s="185" t="s">
        <v>527</v>
      </c>
      <c r="D68">
        <v>67</v>
      </c>
      <c r="E68" t="s">
        <v>1691</v>
      </c>
    </row>
    <row r="69" spans="1:5">
      <c r="A69" s="233">
        <v>68</v>
      </c>
      <c r="B69" s="185" t="s">
        <v>2234</v>
      </c>
      <c r="D69">
        <v>68</v>
      </c>
      <c r="E69" t="s">
        <v>1582</v>
      </c>
    </row>
    <row r="70" spans="1:5">
      <c r="A70" s="233">
        <v>69</v>
      </c>
      <c r="B70" s="185" t="s">
        <v>1680</v>
      </c>
      <c r="D70">
        <v>69</v>
      </c>
      <c r="E70" t="s">
        <v>1427</v>
      </c>
    </row>
    <row r="71" spans="1:5">
      <c r="A71" s="233">
        <v>70</v>
      </c>
      <c r="B71" s="185" t="s">
        <v>1680</v>
      </c>
      <c r="D71">
        <v>70</v>
      </c>
      <c r="E71" t="s">
        <v>1691</v>
      </c>
    </row>
    <row r="72" spans="1:5">
      <c r="A72" s="233">
        <v>71</v>
      </c>
      <c r="B72" s="185" t="s">
        <v>143</v>
      </c>
      <c r="D72">
        <v>71</v>
      </c>
      <c r="E72" t="s">
        <v>1436</v>
      </c>
    </row>
    <row r="73" spans="1:5">
      <c r="A73" s="233">
        <v>72</v>
      </c>
      <c r="B73" s="185" t="s">
        <v>1683</v>
      </c>
      <c r="D73">
        <v>72</v>
      </c>
      <c r="E73" t="s">
        <v>659</v>
      </c>
    </row>
    <row r="74" spans="1:5">
      <c r="A74" s="233">
        <v>73</v>
      </c>
      <c r="B74" s="185" t="s">
        <v>160</v>
      </c>
      <c r="D74">
        <v>73</v>
      </c>
      <c r="E74" t="s">
        <v>1436</v>
      </c>
    </row>
    <row r="75" spans="1:5">
      <c r="A75" s="233">
        <v>74</v>
      </c>
      <c r="B75" s="185" t="s">
        <v>1663</v>
      </c>
      <c r="D75">
        <v>74</v>
      </c>
      <c r="E75" t="s">
        <v>1427</v>
      </c>
    </row>
    <row r="76" spans="1:5">
      <c r="A76" s="233">
        <v>75</v>
      </c>
      <c r="B76" s="185" t="s">
        <v>1447</v>
      </c>
      <c r="D76">
        <v>75</v>
      </c>
      <c r="E76" t="s">
        <v>1691</v>
      </c>
    </row>
    <row r="77" spans="1:5">
      <c r="A77" s="233">
        <v>76</v>
      </c>
      <c r="B77" s="185" t="s">
        <v>1217</v>
      </c>
      <c r="D77">
        <v>76</v>
      </c>
      <c r="E77" t="s">
        <v>1427</v>
      </c>
    </row>
    <row r="78" spans="1:5">
      <c r="A78" s="233">
        <v>77</v>
      </c>
      <c r="B78" s="185" t="s">
        <v>1597</v>
      </c>
      <c r="D78">
        <v>77</v>
      </c>
      <c r="E78" t="s">
        <v>1436</v>
      </c>
    </row>
    <row r="79" spans="1:5">
      <c r="D79">
        <v>78</v>
      </c>
      <c r="E79" t="s">
        <v>659</v>
      </c>
    </row>
    <row r="80" spans="1:5">
      <c r="D80">
        <v>79</v>
      </c>
      <c r="E80" t="s">
        <v>2661</v>
      </c>
    </row>
    <row r="81" spans="4:5">
      <c r="D81">
        <v>80</v>
      </c>
      <c r="E81" t="s">
        <v>1427</v>
      </c>
    </row>
    <row r="82" spans="4:5">
      <c r="D82">
        <v>81</v>
      </c>
      <c r="E82" t="s">
        <v>1427</v>
      </c>
    </row>
    <row r="83" spans="4:5">
      <c r="D83">
        <v>82</v>
      </c>
      <c r="E83" t="s">
        <v>1436</v>
      </c>
    </row>
    <row r="84" spans="4:5">
      <c r="D84">
        <v>83</v>
      </c>
      <c r="E84" t="s">
        <v>1936</v>
      </c>
    </row>
    <row r="85" spans="4:5">
      <c r="D85">
        <v>84</v>
      </c>
      <c r="E85" t="s">
        <v>1427</v>
      </c>
    </row>
    <row r="86" spans="4:5">
      <c r="D86">
        <v>85</v>
      </c>
      <c r="E86" t="s">
        <v>659</v>
      </c>
    </row>
    <row r="87" spans="4:5">
      <c r="D87">
        <v>86</v>
      </c>
      <c r="E87" t="s">
        <v>1436</v>
      </c>
    </row>
    <row r="88" spans="4:5">
      <c r="D88">
        <v>87</v>
      </c>
      <c r="E88" t="s">
        <v>1436</v>
      </c>
    </row>
    <row r="89" spans="4:5">
      <c r="D89">
        <v>88</v>
      </c>
      <c r="E89" t="s">
        <v>1585</v>
      </c>
    </row>
    <row r="90" spans="4:5">
      <c r="D90">
        <v>89</v>
      </c>
      <c r="E90" t="s">
        <v>1584</v>
      </c>
    </row>
    <row r="91" spans="4:5">
      <c r="D91">
        <v>90</v>
      </c>
      <c r="E91" t="s">
        <v>1590</v>
      </c>
    </row>
    <row r="92" spans="4:5">
      <c r="D92">
        <v>91</v>
      </c>
      <c r="E92" t="s">
        <v>1010</v>
      </c>
    </row>
    <row r="93" spans="4:5">
      <c r="D93">
        <v>92</v>
      </c>
      <c r="E93" t="s">
        <v>1436</v>
      </c>
    </row>
    <row r="94" spans="4:5">
      <c r="D94">
        <v>93</v>
      </c>
      <c r="E94" t="s">
        <v>1010</v>
      </c>
    </row>
    <row r="95" spans="4:5">
      <c r="D95">
        <v>94</v>
      </c>
      <c r="E95" t="s">
        <v>1590</v>
      </c>
    </row>
    <row r="96" spans="4:5">
      <c r="D96">
        <v>95</v>
      </c>
      <c r="E96" t="s">
        <v>1677</v>
      </c>
    </row>
    <row r="97" spans="4:5">
      <c r="D97">
        <v>96</v>
      </c>
      <c r="E97" t="s">
        <v>623</v>
      </c>
    </row>
    <row r="98" spans="4:5">
      <c r="D98">
        <v>97</v>
      </c>
      <c r="E98" t="s">
        <v>623</v>
      </c>
    </row>
    <row r="99" spans="4:5">
      <c r="D99">
        <v>98</v>
      </c>
      <c r="E99" t="s">
        <v>2666</v>
      </c>
    </row>
    <row r="100" spans="4:5">
      <c r="D100">
        <v>99</v>
      </c>
      <c r="E100" t="s">
        <v>1427</v>
      </c>
    </row>
    <row r="101" spans="4:5">
      <c r="D101">
        <v>100</v>
      </c>
      <c r="E101" t="s">
        <v>1436</v>
      </c>
    </row>
    <row r="102" spans="4:5">
      <c r="D102">
        <v>101</v>
      </c>
      <c r="E102" t="s">
        <v>2661</v>
      </c>
    </row>
    <row r="103" spans="4:5">
      <c r="D103">
        <v>102</v>
      </c>
      <c r="E103" t="s">
        <v>2666</v>
      </c>
    </row>
    <row r="104" spans="4:5">
      <c r="D104">
        <v>103</v>
      </c>
      <c r="E104" t="s">
        <v>1590</v>
      </c>
    </row>
    <row r="105" spans="4:5">
      <c r="D105">
        <v>104</v>
      </c>
      <c r="E105" t="s">
        <v>1427</v>
      </c>
    </row>
    <row r="106" spans="4:5">
      <c r="D106">
        <v>105</v>
      </c>
      <c r="E106" t="s">
        <v>1427</v>
      </c>
    </row>
    <row r="107" spans="4:5">
      <c r="D107">
        <v>106</v>
      </c>
      <c r="E107" t="s">
        <v>1690</v>
      </c>
    </row>
    <row r="108" spans="4:5">
      <c r="D108">
        <v>107</v>
      </c>
      <c r="E108" t="s">
        <v>458</v>
      </c>
    </row>
    <row r="109" spans="4:5">
      <c r="D109">
        <v>108</v>
      </c>
      <c r="E109" t="s">
        <v>2677</v>
      </c>
    </row>
    <row r="110" spans="4:5">
      <c r="D110">
        <v>109</v>
      </c>
      <c r="E110" t="s">
        <v>29</v>
      </c>
    </row>
    <row r="111" spans="4:5">
      <c r="D111">
        <v>110</v>
      </c>
      <c r="E111" t="s">
        <v>2064</v>
      </c>
    </row>
    <row r="112" spans="4:5">
      <c r="D112">
        <v>111</v>
      </c>
      <c r="E112" t="s">
        <v>1582</v>
      </c>
    </row>
    <row r="113" spans="4:5">
      <c r="D113">
        <v>112</v>
      </c>
      <c r="E113" t="s">
        <v>1628</v>
      </c>
    </row>
    <row r="114" spans="4:5">
      <c r="D114">
        <v>113</v>
      </c>
      <c r="E114" t="s">
        <v>1622</v>
      </c>
    </row>
    <row r="115" spans="4:5">
      <c r="D115">
        <v>114</v>
      </c>
      <c r="E115" t="s">
        <v>126</v>
      </c>
    </row>
    <row r="116" spans="4:5">
      <c r="D116">
        <v>115</v>
      </c>
      <c r="E116" t="s">
        <v>1626</v>
      </c>
    </row>
    <row r="117" spans="4:5">
      <c r="D117">
        <v>116</v>
      </c>
      <c r="E117" t="s">
        <v>144</v>
      </c>
    </row>
    <row r="118" spans="4:5">
      <c r="D118">
        <v>117</v>
      </c>
      <c r="E118" t="s">
        <v>1690</v>
      </c>
    </row>
    <row r="119" spans="4:5">
      <c r="D119">
        <v>118</v>
      </c>
      <c r="E119" t="s">
        <v>659</v>
      </c>
    </row>
    <row r="120" spans="4:5">
      <c r="D120">
        <v>119</v>
      </c>
      <c r="E120" t="s">
        <v>1590</v>
      </c>
    </row>
    <row r="121" spans="4:5">
      <c r="D121">
        <v>120</v>
      </c>
      <c r="E121" t="s">
        <v>1690</v>
      </c>
    </row>
    <row r="122" spans="4:5">
      <c r="D122">
        <v>121</v>
      </c>
      <c r="E122" t="s">
        <v>659</v>
      </c>
    </row>
    <row r="123" spans="4:5">
      <c r="D123">
        <v>122</v>
      </c>
      <c r="E123" t="s">
        <v>1677</v>
      </c>
    </row>
    <row r="124" spans="4:5">
      <c r="D124">
        <v>123</v>
      </c>
      <c r="E124" t="s">
        <v>1677</v>
      </c>
    </row>
    <row r="125" spans="4:5">
      <c r="D125">
        <v>124</v>
      </c>
      <c r="E125" t="s">
        <v>1452</v>
      </c>
    </row>
    <row r="126" spans="4:5">
      <c r="D126">
        <v>125</v>
      </c>
      <c r="E126" t="s">
        <v>2668</v>
      </c>
    </row>
    <row r="127" spans="4:5">
      <c r="D127">
        <v>126</v>
      </c>
      <c r="E127" t="s">
        <v>1452</v>
      </c>
    </row>
    <row r="128" spans="4:5">
      <c r="D128">
        <v>127</v>
      </c>
      <c r="E128" t="s">
        <v>2252</v>
      </c>
    </row>
    <row r="129" spans="4:5">
      <c r="D129">
        <v>128</v>
      </c>
      <c r="E129" t="s">
        <v>1690</v>
      </c>
    </row>
    <row r="130" spans="4:5">
      <c r="D130">
        <v>129</v>
      </c>
      <c r="E130" t="s">
        <v>2666</v>
      </c>
    </row>
    <row r="131" spans="4:5">
      <c r="D131">
        <v>130</v>
      </c>
      <c r="E131" t="s">
        <v>1622</v>
      </c>
    </row>
    <row r="132" spans="4:5">
      <c r="D132">
        <v>131</v>
      </c>
      <c r="E132" t="s">
        <v>126</v>
      </c>
    </row>
    <row r="133" spans="4:5">
      <c r="D133">
        <v>132</v>
      </c>
      <c r="E133" t="s">
        <v>1592</v>
      </c>
    </row>
    <row r="134" spans="4:5">
      <c r="D134">
        <v>133</v>
      </c>
      <c r="E134" t="s">
        <v>1417</v>
      </c>
    </row>
    <row r="135" spans="4:5">
      <c r="D135">
        <v>134</v>
      </c>
      <c r="E135" t="s">
        <v>1417</v>
      </c>
    </row>
    <row r="136" spans="4:5">
      <c r="D136">
        <v>135</v>
      </c>
      <c r="E136" t="s">
        <v>2241</v>
      </c>
    </row>
    <row r="137" spans="4:5">
      <c r="D137">
        <v>136</v>
      </c>
      <c r="E137" t="s">
        <v>160</v>
      </c>
    </row>
    <row r="138" spans="4:5">
      <c r="D138">
        <v>137</v>
      </c>
      <c r="E138" t="s">
        <v>1664</v>
      </c>
    </row>
    <row r="139" spans="4:5">
      <c r="D139">
        <v>138</v>
      </c>
      <c r="E139" t="s">
        <v>160</v>
      </c>
    </row>
    <row r="140" spans="4:5">
      <c r="D140">
        <v>139</v>
      </c>
      <c r="E140" t="s">
        <v>159</v>
      </c>
    </row>
    <row r="141" spans="4:5">
      <c r="D141">
        <v>140</v>
      </c>
      <c r="E141" t="s">
        <v>1429</v>
      </c>
    </row>
    <row r="142" spans="4:5">
      <c r="D142">
        <v>141</v>
      </c>
      <c r="E142" t="s">
        <v>159</v>
      </c>
    </row>
    <row r="143" spans="4:5">
      <c r="D143">
        <v>142</v>
      </c>
      <c r="E143" t="s">
        <v>1153</v>
      </c>
    </row>
    <row r="144" spans="4:5">
      <c r="D144">
        <v>143</v>
      </c>
      <c r="E144" t="s">
        <v>1936</v>
      </c>
    </row>
    <row r="145" spans="4:5">
      <c r="D145">
        <v>144</v>
      </c>
      <c r="E145" t="s">
        <v>1428</v>
      </c>
    </row>
    <row r="146" spans="4:5">
      <c r="D146">
        <v>145</v>
      </c>
      <c r="E146" t="s">
        <v>1428</v>
      </c>
    </row>
    <row r="147" spans="4:5">
      <c r="D147">
        <v>146</v>
      </c>
      <c r="E147" t="s">
        <v>1417</v>
      </c>
    </row>
    <row r="148" spans="4:5">
      <c r="D148">
        <v>147</v>
      </c>
      <c r="E148" t="s">
        <v>2670</v>
      </c>
    </row>
    <row r="149" spans="4:5">
      <c r="D149">
        <v>148</v>
      </c>
      <c r="E149" t="s">
        <v>1592</v>
      </c>
    </row>
    <row r="150" spans="4:5">
      <c r="D150">
        <v>149</v>
      </c>
      <c r="E150" t="s">
        <v>1734</v>
      </c>
    </row>
    <row r="151" spans="4:5">
      <c r="D151">
        <v>150</v>
      </c>
      <c r="E151" t="s">
        <v>1759</v>
      </c>
    </row>
    <row r="152" spans="4:5">
      <c r="D152">
        <v>151</v>
      </c>
      <c r="E152" t="s">
        <v>1789</v>
      </c>
    </row>
    <row r="153" spans="4:5">
      <c r="D153">
        <v>152</v>
      </c>
      <c r="E153" t="s">
        <v>1443</v>
      </c>
    </row>
    <row r="154" spans="4:5">
      <c r="D154">
        <v>153</v>
      </c>
      <c r="E154" t="s">
        <v>1443</v>
      </c>
    </row>
    <row r="155" spans="4:5">
      <c r="D155">
        <v>154</v>
      </c>
      <c r="E155" t="s">
        <v>1443</v>
      </c>
    </row>
    <row r="156" spans="4:5">
      <c r="D156">
        <v>155</v>
      </c>
      <c r="E156" t="s">
        <v>1443</v>
      </c>
    </row>
    <row r="157" spans="4:5">
      <c r="D157">
        <v>156</v>
      </c>
      <c r="E157" t="s">
        <v>1734</v>
      </c>
    </row>
    <row r="158" spans="4:5">
      <c r="D158">
        <v>157</v>
      </c>
      <c r="E158" t="s">
        <v>2240</v>
      </c>
    </row>
    <row r="159" spans="4:5">
      <c r="D159">
        <v>158</v>
      </c>
      <c r="E159" t="s">
        <v>1381</v>
      </c>
    </row>
    <row r="160" spans="4:5">
      <c r="D160">
        <v>159</v>
      </c>
      <c r="E160" t="s">
        <v>159</v>
      </c>
    </row>
    <row r="161" spans="4:5">
      <c r="D161">
        <v>160</v>
      </c>
      <c r="E161" t="s">
        <v>2673</v>
      </c>
    </row>
    <row r="162" spans="4:5">
      <c r="D162">
        <v>161</v>
      </c>
      <c r="E162" t="s">
        <v>735</v>
      </c>
    </row>
    <row r="163" spans="4:5">
      <c r="D163">
        <v>162</v>
      </c>
      <c r="E163" t="s">
        <v>1429</v>
      </c>
    </row>
    <row r="164" spans="4:5">
      <c r="D164">
        <v>163</v>
      </c>
      <c r="E164" t="s">
        <v>1734</v>
      </c>
    </row>
    <row r="165" spans="4:5">
      <c r="D165">
        <v>164</v>
      </c>
      <c r="E165" t="s">
        <v>1428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L171"/>
  <sheetViews>
    <sheetView topLeftCell="A149" workbookViewId="0">
      <selection activeCell="B170" sqref="B170:F171"/>
    </sheetView>
  </sheetViews>
  <sheetFormatPr defaultRowHeight="15"/>
  <cols>
    <col min="3" max="3" width="60.5703125" bestFit="1" customWidth="1"/>
    <col min="4" max="4" width="13.85546875" bestFit="1" customWidth="1"/>
  </cols>
  <sheetData>
    <row r="1" spans="2:12">
      <c r="C1" t="s">
        <v>1693</v>
      </c>
    </row>
    <row r="3" spans="2:12">
      <c r="B3" s="233" t="s">
        <v>2253</v>
      </c>
      <c r="C3" s="233"/>
      <c r="G3" s="236" t="s">
        <v>2259</v>
      </c>
      <c r="H3" s="236" t="s">
        <v>1694</v>
      </c>
      <c r="I3" s="233" t="s">
        <v>1695</v>
      </c>
      <c r="J3" s="233" t="s">
        <v>1696</v>
      </c>
      <c r="K3" s="236" t="s">
        <v>1697</v>
      </c>
      <c r="L3" s="233" t="s">
        <v>1698</v>
      </c>
    </row>
    <row r="4" spans="2:12">
      <c r="B4" s="234"/>
      <c r="G4" s="234"/>
      <c r="H4" s="234"/>
      <c r="I4" s="234"/>
      <c r="J4" s="234"/>
      <c r="K4" s="234"/>
      <c r="L4" s="234"/>
    </row>
    <row r="5" spans="2:12">
      <c r="B5" s="229"/>
      <c r="G5" s="235"/>
      <c r="H5" s="229"/>
      <c r="I5" s="229"/>
      <c r="J5" s="229"/>
      <c r="K5" s="229"/>
      <c r="L5" s="229"/>
    </row>
    <row r="6" spans="2:12">
      <c r="B6" s="229">
        <v>1</v>
      </c>
      <c r="C6" s="234" t="s">
        <v>1717</v>
      </c>
      <c r="D6" t="s">
        <v>2622</v>
      </c>
      <c r="E6" t="s">
        <v>2520</v>
      </c>
      <c r="G6" s="235" t="s">
        <v>406</v>
      </c>
      <c r="H6" s="229" t="s">
        <v>363</v>
      </c>
      <c r="I6" s="229">
        <v>6637657</v>
      </c>
      <c r="J6" s="229">
        <v>2241227.37</v>
      </c>
      <c r="K6" s="229" t="s">
        <v>1721</v>
      </c>
      <c r="L6" s="229" t="s">
        <v>17</v>
      </c>
    </row>
    <row r="7" spans="2:12">
      <c r="B7" s="229">
        <v>2</v>
      </c>
      <c r="C7" s="229" t="s">
        <v>1717</v>
      </c>
      <c r="D7" t="s">
        <v>2623</v>
      </c>
      <c r="E7" t="s">
        <v>298</v>
      </c>
      <c r="G7" s="235" t="s">
        <v>2262</v>
      </c>
      <c r="H7" s="229" t="s">
        <v>1719</v>
      </c>
      <c r="I7" s="229">
        <v>6153193</v>
      </c>
      <c r="J7" s="229">
        <v>9058670</v>
      </c>
      <c r="K7" s="229" t="s">
        <v>1719</v>
      </c>
      <c r="L7" s="229" t="s">
        <v>17</v>
      </c>
    </row>
    <row r="8" spans="2:12">
      <c r="B8" s="229">
        <v>3</v>
      </c>
      <c r="C8" s="229" t="s">
        <v>1729</v>
      </c>
      <c r="D8" t="s">
        <v>2624</v>
      </c>
      <c r="E8" t="s">
        <v>298</v>
      </c>
      <c r="G8" s="235" t="s">
        <v>326</v>
      </c>
      <c r="H8" s="229" t="s">
        <v>1731</v>
      </c>
      <c r="I8" s="229">
        <v>404049</v>
      </c>
      <c r="J8" s="229">
        <v>394500</v>
      </c>
      <c r="K8" s="229" t="s">
        <v>1731</v>
      </c>
      <c r="L8" s="229" t="s">
        <v>17</v>
      </c>
    </row>
    <row r="9" spans="2:12">
      <c r="B9" s="229">
        <v>4</v>
      </c>
      <c r="C9" s="229" t="s">
        <v>299</v>
      </c>
      <c r="D9" t="s">
        <v>2611</v>
      </c>
      <c r="E9" t="s">
        <v>298</v>
      </c>
      <c r="G9" s="235" t="s">
        <v>300</v>
      </c>
      <c r="H9" s="229" t="s">
        <v>1733</v>
      </c>
      <c r="I9" s="229">
        <v>207377</v>
      </c>
      <c r="J9" s="229">
        <v>0.5</v>
      </c>
      <c r="K9" s="229" t="s">
        <v>1733</v>
      </c>
      <c r="L9" s="229" t="s">
        <v>17</v>
      </c>
    </row>
    <row r="10" spans="2:12">
      <c r="B10" s="229">
        <v>5</v>
      </c>
      <c r="C10" s="229" t="s">
        <v>2612</v>
      </c>
      <c r="D10" t="s">
        <v>1943</v>
      </c>
      <c r="G10" s="235" t="s">
        <v>2266</v>
      </c>
      <c r="H10" s="229" t="s">
        <v>1944</v>
      </c>
      <c r="I10" s="229">
        <v>8219028</v>
      </c>
      <c r="J10" s="229">
        <v>1</v>
      </c>
      <c r="K10" s="229" t="s">
        <v>1944</v>
      </c>
      <c r="L10" s="229" t="s">
        <v>17</v>
      </c>
    </row>
    <row r="11" spans="2:12">
      <c r="B11" s="229">
        <v>6</v>
      </c>
      <c r="C11" s="229" t="s">
        <v>1699</v>
      </c>
      <c r="D11" t="s">
        <v>2613</v>
      </c>
      <c r="E11" t="s">
        <v>298</v>
      </c>
      <c r="G11" s="235" t="s">
        <v>2268</v>
      </c>
      <c r="H11" s="229" t="s">
        <v>1701</v>
      </c>
      <c r="I11" s="229">
        <v>3074629</v>
      </c>
      <c r="J11" s="229">
        <v>4275702</v>
      </c>
      <c r="K11" s="229" t="s">
        <v>1702</v>
      </c>
      <c r="L11" s="229" t="s">
        <v>17</v>
      </c>
    </row>
    <row r="12" spans="2:12">
      <c r="B12" s="229">
        <v>7</v>
      </c>
      <c r="C12" s="229" t="s">
        <v>1699</v>
      </c>
      <c r="D12" t="s">
        <v>1703</v>
      </c>
      <c r="E12" t="s">
        <v>298</v>
      </c>
      <c r="G12" s="235" t="s">
        <v>2270</v>
      </c>
      <c r="H12" s="229" t="s">
        <v>1704</v>
      </c>
      <c r="I12" s="229">
        <v>3407220</v>
      </c>
      <c r="J12" s="229">
        <v>6326787</v>
      </c>
      <c r="K12" s="229" t="s">
        <v>1704</v>
      </c>
      <c r="L12" s="229" t="s">
        <v>17</v>
      </c>
    </row>
    <row r="13" spans="2:12">
      <c r="B13" s="229">
        <v>8</v>
      </c>
      <c r="C13" s="229" t="s">
        <v>1750</v>
      </c>
      <c r="D13" t="s">
        <v>2625</v>
      </c>
      <c r="E13" t="s">
        <v>2614</v>
      </c>
      <c r="G13" s="235" t="s">
        <v>411</v>
      </c>
      <c r="H13" s="229" t="s">
        <v>363</v>
      </c>
      <c r="I13" s="229">
        <v>5615148</v>
      </c>
      <c r="J13" s="229">
        <v>9432035.0999999996</v>
      </c>
      <c r="K13" s="229" t="s">
        <v>1752</v>
      </c>
      <c r="L13" s="229" t="s">
        <v>17</v>
      </c>
    </row>
    <row r="14" spans="2:12">
      <c r="B14" s="229">
        <v>9</v>
      </c>
      <c r="C14" s="229" t="s">
        <v>364</v>
      </c>
      <c r="D14" t="s">
        <v>2626</v>
      </c>
      <c r="E14" t="s">
        <v>298</v>
      </c>
      <c r="G14" s="235" t="s">
        <v>365</v>
      </c>
      <c r="H14" s="229" t="s">
        <v>1749</v>
      </c>
      <c r="I14" s="229">
        <v>1779056</v>
      </c>
      <c r="J14" s="229">
        <v>1994531.46</v>
      </c>
      <c r="K14" s="229" t="s">
        <v>1749</v>
      </c>
      <c r="L14" s="229" t="s">
        <v>17</v>
      </c>
    </row>
    <row r="15" spans="2:12">
      <c r="B15" s="229">
        <v>10</v>
      </c>
      <c r="C15" s="229" t="s">
        <v>367</v>
      </c>
      <c r="D15" t="s">
        <v>2615</v>
      </c>
      <c r="E15" t="s">
        <v>298</v>
      </c>
      <c r="G15" s="235" t="s">
        <v>2274</v>
      </c>
      <c r="H15" s="229" t="s">
        <v>1778</v>
      </c>
      <c r="I15" s="229">
        <v>621942</v>
      </c>
      <c r="J15" s="229">
        <v>859949</v>
      </c>
      <c r="K15" s="229" t="s">
        <v>1778</v>
      </c>
      <c r="L15" s="229" t="s">
        <v>17</v>
      </c>
    </row>
    <row r="16" spans="2:12">
      <c r="B16" s="229">
        <v>11</v>
      </c>
      <c r="C16" s="229" t="s">
        <v>367</v>
      </c>
      <c r="D16" t="s">
        <v>2616</v>
      </c>
      <c r="E16" t="s">
        <v>2520</v>
      </c>
      <c r="G16" s="235" t="s">
        <v>2276</v>
      </c>
      <c r="H16" s="229" t="s">
        <v>1776</v>
      </c>
      <c r="I16" s="229">
        <v>2571483</v>
      </c>
      <c r="J16" s="229">
        <v>3503141</v>
      </c>
      <c r="K16" s="229" t="s">
        <v>1776</v>
      </c>
      <c r="L16" s="229" t="s">
        <v>17</v>
      </c>
    </row>
    <row r="17" spans="2:12">
      <c r="B17" s="229">
        <v>12</v>
      </c>
      <c r="C17" s="229" t="s">
        <v>412</v>
      </c>
      <c r="D17" t="s">
        <v>2617</v>
      </c>
      <c r="E17" t="s">
        <v>298</v>
      </c>
      <c r="G17" s="235" t="s">
        <v>2278</v>
      </c>
      <c r="H17" s="229" t="s">
        <v>414</v>
      </c>
      <c r="I17" s="229">
        <v>1489100</v>
      </c>
      <c r="J17" s="229">
        <v>1240001</v>
      </c>
      <c r="K17" s="229" t="s">
        <v>414</v>
      </c>
      <c r="L17" s="229" t="s">
        <v>17</v>
      </c>
    </row>
    <row r="18" spans="2:12">
      <c r="B18" s="229">
        <v>13</v>
      </c>
      <c r="C18" s="229" t="s">
        <v>412</v>
      </c>
      <c r="D18" t="s">
        <v>2618</v>
      </c>
      <c r="E18" t="s">
        <v>298</v>
      </c>
      <c r="G18" s="235" t="s">
        <v>415</v>
      </c>
      <c r="H18" s="229" t="s">
        <v>1766</v>
      </c>
      <c r="I18" s="229">
        <v>565075</v>
      </c>
      <c r="J18" s="229">
        <v>575000</v>
      </c>
      <c r="K18" s="229" t="s">
        <v>1766</v>
      </c>
      <c r="L18" s="229" t="s">
        <v>17</v>
      </c>
    </row>
    <row r="19" spans="2:12">
      <c r="B19" s="229">
        <v>14</v>
      </c>
      <c r="C19" s="229" t="s">
        <v>412</v>
      </c>
      <c r="D19" t="s">
        <v>2619</v>
      </c>
      <c r="E19" t="s">
        <v>298</v>
      </c>
      <c r="G19" s="235" t="s">
        <v>2281</v>
      </c>
      <c r="H19" s="229" t="s">
        <v>1769</v>
      </c>
      <c r="I19" s="229">
        <v>2155728</v>
      </c>
      <c r="J19" s="229">
        <v>2200000</v>
      </c>
      <c r="K19" s="229" t="s">
        <v>1769</v>
      </c>
      <c r="L19" s="229" t="s">
        <v>17</v>
      </c>
    </row>
    <row r="20" spans="2:12">
      <c r="B20" s="229">
        <v>15</v>
      </c>
      <c r="C20" s="229" t="s">
        <v>412</v>
      </c>
      <c r="D20" t="s">
        <v>2620</v>
      </c>
      <c r="E20" t="s">
        <v>2520</v>
      </c>
      <c r="G20" s="235" t="s">
        <v>419</v>
      </c>
      <c r="H20" s="229" t="s">
        <v>1763</v>
      </c>
      <c r="I20" s="229">
        <v>1931233</v>
      </c>
      <c r="J20" s="229">
        <v>1969000</v>
      </c>
      <c r="K20" s="229" t="s">
        <v>1764</v>
      </c>
      <c r="L20" s="229" t="s">
        <v>17</v>
      </c>
    </row>
    <row r="21" spans="2:12">
      <c r="B21" s="229">
        <v>16</v>
      </c>
      <c r="C21" s="229" t="s">
        <v>412</v>
      </c>
      <c r="D21" t="s">
        <v>2621</v>
      </c>
      <c r="E21" t="s">
        <v>298</v>
      </c>
      <c r="G21" s="235" t="s">
        <v>420</v>
      </c>
      <c r="H21" s="229" t="s">
        <v>1773</v>
      </c>
      <c r="I21" s="229">
        <v>3052586</v>
      </c>
      <c r="J21" s="229">
        <v>3100000</v>
      </c>
      <c r="K21" s="229" t="s">
        <v>1774</v>
      </c>
      <c r="L21" s="229" t="s">
        <v>17</v>
      </c>
    </row>
    <row r="22" spans="2:12">
      <c r="B22" s="229">
        <v>17</v>
      </c>
      <c r="C22" s="229" t="s">
        <v>412</v>
      </c>
      <c r="D22" t="s">
        <v>2494</v>
      </c>
      <c r="E22" t="s">
        <v>298</v>
      </c>
      <c r="G22" s="235" t="s">
        <v>421</v>
      </c>
      <c r="H22" s="229" t="s">
        <v>1771</v>
      </c>
      <c r="I22" s="229">
        <v>1324609</v>
      </c>
      <c r="J22" s="229">
        <v>1200000.8500000001</v>
      </c>
      <c r="K22" s="229" t="s">
        <v>1771</v>
      </c>
      <c r="L22" s="229" t="s">
        <v>17</v>
      </c>
    </row>
    <row r="23" spans="2:12">
      <c r="B23" s="229">
        <v>18</v>
      </c>
      <c r="C23" s="229" t="s">
        <v>2495</v>
      </c>
      <c r="D23" t="s">
        <v>2496</v>
      </c>
      <c r="E23" t="s">
        <v>298</v>
      </c>
      <c r="G23" s="235" t="s">
        <v>362</v>
      </c>
      <c r="H23" s="229" t="s">
        <v>363</v>
      </c>
      <c r="I23" s="229">
        <v>6314254</v>
      </c>
      <c r="J23" s="229">
        <v>0.42</v>
      </c>
      <c r="K23" s="229" t="s">
        <v>363</v>
      </c>
      <c r="L23" s="229" t="s">
        <v>17</v>
      </c>
    </row>
    <row r="24" spans="2:12">
      <c r="B24" s="229">
        <v>19</v>
      </c>
      <c r="C24" s="229" t="s">
        <v>461</v>
      </c>
      <c r="D24" t="s">
        <v>1794</v>
      </c>
      <c r="E24" t="s">
        <v>298</v>
      </c>
      <c r="G24" s="235" t="s">
        <v>462</v>
      </c>
      <c r="H24" s="229" t="s">
        <v>463</v>
      </c>
      <c r="I24" s="229">
        <v>4187202</v>
      </c>
      <c r="J24" s="229">
        <v>11626692</v>
      </c>
      <c r="K24" s="229" t="s">
        <v>1793</v>
      </c>
      <c r="L24" s="229" t="s">
        <v>17</v>
      </c>
    </row>
    <row r="25" spans="2:12">
      <c r="B25" s="229">
        <v>20</v>
      </c>
      <c r="C25" s="229" t="s">
        <v>461</v>
      </c>
      <c r="D25" t="s">
        <v>2497</v>
      </c>
      <c r="E25" t="s">
        <v>298</v>
      </c>
      <c r="G25" s="235" t="s">
        <v>464</v>
      </c>
      <c r="H25" s="229" t="s">
        <v>1796</v>
      </c>
      <c r="I25" s="229">
        <v>517521</v>
      </c>
      <c r="J25" s="229">
        <v>1170430</v>
      </c>
      <c r="K25" s="229" t="s">
        <v>1793</v>
      </c>
      <c r="L25" s="229" t="s">
        <v>17</v>
      </c>
    </row>
    <row r="26" spans="2:12">
      <c r="B26" s="229">
        <v>21</v>
      </c>
      <c r="C26" s="229" t="s">
        <v>461</v>
      </c>
      <c r="D26" t="s">
        <v>1792</v>
      </c>
      <c r="E26" t="s">
        <v>298</v>
      </c>
      <c r="G26" s="235" t="s">
        <v>466</v>
      </c>
      <c r="H26" s="229" t="s">
        <v>383</v>
      </c>
      <c r="I26" s="229">
        <v>2582760</v>
      </c>
      <c r="J26" s="229">
        <v>6258611.8799999999</v>
      </c>
      <c r="K26" s="229" t="s">
        <v>1793</v>
      </c>
      <c r="L26" s="229" t="s">
        <v>17</v>
      </c>
    </row>
    <row r="27" spans="2:12">
      <c r="B27" s="229">
        <v>22</v>
      </c>
      <c r="C27" s="229" t="s">
        <v>328</v>
      </c>
      <c r="D27" t="s">
        <v>2498</v>
      </c>
      <c r="E27" t="s">
        <v>298</v>
      </c>
      <c r="G27" s="235" t="s">
        <v>340</v>
      </c>
      <c r="H27" s="229" t="s">
        <v>383</v>
      </c>
      <c r="I27" s="229">
        <v>1542847</v>
      </c>
      <c r="J27" s="229">
        <v>2500000.8199999998</v>
      </c>
      <c r="K27" s="229" t="s">
        <v>383</v>
      </c>
      <c r="L27" s="229" t="s">
        <v>17</v>
      </c>
    </row>
    <row r="28" spans="2:12">
      <c r="B28" s="229">
        <v>23</v>
      </c>
      <c r="C28" s="229" t="s">
        <v>1819</v>
      </c>
      <c r="D28" t="s">
        <v>2499</v>
      </c>
      <c r="E28" t="s">
        <v>298</v>
      </c>
      <c r="G28" s="235" t="s">
        <v>449</v>
      </c>
      <c r="H28" s="229" t="s">
        <v>1823</v>
      </c>
      <c r="I28" s="229">
        <v>10155776</v>
      </c>
      <c r="J28" s="229">
        <v>34879562</v>
      </c>
      <c r="K28" s="229" t="s">
        <v>1823</v>
      </c>
      <c r="L28" s="229" t="s">
        <v>17</v>
      </c>
    </row>
    <row r="29" spans="2:12">
      <c r="B29" s="229">
        <v>24</v>
      </c>
      <c r="C29" s="229" t="s">
        <v>2500</v>
      </c>
      <c r="D29" t="s">
        <v>2501</v>
      </c>
      <c r="E29" t="s">
        <v>2502</v>
      </c>
      <c r="G29" s="235" t="s">
        <v>2292</v>
      </c>
      <c r="H29" s="229" t="s">
        <v>1821</v>
      </c>
      <c r="I29" s="229">
        <v>7138734</v>
      </c>
      <c r="J29" s="229">
        <v>13490900</v>
      </c>
      <c r="K29" s="229" t="s">
        <v>1821</v>
      </c>
      <c r="L29" s="229" t="s">
        <v>17</v>
      </c>
    </row>
    <row r="30" spans="2:12">
      <c r="B30" s="229">
        <v>25</v>
      </c>
      <c r="C30" s="229" t="s">
        <v>2503</v>
      </c>
      <c r="D30" t="s">
        <v>2504</v>
      </c>
      <c r="E30" t="s">
        <v>2505</v>
      </c>
      <c r="G30" s="235" t="s">
        <v>2294</v>
      </c>
      <c r="H30" s="229" t="s">
        <v>1825</v>
      </c>
      <c r="I30" s="229">
        <v>7489618</v>
      </c>
      <c r="J30" s="229">
        <v>13707072</v>
      </c>
      <c r="K30" s="229" t="s">
        <v>1825</v>
      </c>
      <c r="L30" s="229" t="s">
        <v>17</v>
      </c>
    </row>
    <row r="31" spans="2:12">
      <c r="B31" s="229">
        <v>26</v>
      </c>
      <c r="C31" s="229" t="s">
        <v>1826</v>
      </c>
      <c r="D31" t="s">
        <v>2627</v>
      </c>
      <c r="G31" s="235" t="s">
        <v>3</v>
      </c>
      <c r="H31" s="229" t="s">
        <v>1828</v>
      </c>
      <c r="I31" s="229">
        <v>3468239</v>
      </c>
      <c r="J31" s="229">
        <v>1</v>
      </c>
      <c r="K31" s="229" t="s">
        <v>1828</v>
      </c>
      <c r="L31" s="229" t="s">
        <v>17</v>
      </c>
    </row>
    <row r="32" spans="2:12">
      <c r="B32" s="229">
        <v>27</v>
      </c>
      <c r="C32" s="229" t="s">
        <v>1849</v>
      </c>
      <c r="D32" t="s">
        <v>2506</v>
      </c>
      <c r="E32" t="s">
        <v>298</v>
      </c>
      <c r="G32" s="235" t="s">
        <v>343</v>
      </c>
      <c r="H32" s="229" t="s">
        <v>1851</v>
      </c>
      <c r="I32" s="229">
        <v>1492420</v>
      </c>
      <c r="J32" s="229">
        <v>7951</v>
      </c>
      <c r="K32" s="229" t="s">
        <v>1851</v>
      </c>
      <c r="L32" s="229" t="s">
        <v>17</v>
      </c>
    </row>
    <row r="33" spans="2:12">
      <c r="B33" s="229">
        <v>28</v>
      </c>
      <c r="C33" s="229" t="s">
        <v>1885</v>
      </c>
      <c r="D33" t="s">
        <v>2507</v>
      </c>
      <c r="E33" t="s">
        <v>298</v>
      </c>
      <c r="G33" s="235" t="s">
        <v>431</v>
      </c>
      <c r="H33" s="229" t="s">
        <v>360</v>
      </c>
      <c r="I33" s="229">
        <v>1984347</v>
      </c>
      <c r="J33" s="229">
        <v>1814213</v>
      </c>
      <c r="K33" s="229" t="s">
        <v>360</v>
      </c>
      <c r="L33" s="229" t="s">
        <v>17</v>
      </c>
    </row>
    <row r="34" spans="2:12">
      <c r="B34" s="229">
        <v>29</v>
      </c>
      <c r="C34" s="229" t="s">
        <v>874</v>
      </c>
      <c r="D34" t="s">
        <v>2508</v>
      </c>
      <c r="G34" s="235" t="s">
        <v>433</v>
      </c>
      <c r="H34" s="229" t="s">
        <v>434</v>
      </c>
      <c r="I34" s="229">
        <v>1648359</v>
      </c>
      <c r="J34" s="229">
        <v>437227.69</v>
      </c>
      <c r="K34" s="229" t="s">
        <v>434</v>
      </c>
      <c r="L34" s="229" t="s">
        <v>17</v>
      </c>
    </row>
    <row r="35" spans="2:12">
      <c r="B35" s="229">
        <v>30</v>
      </c>
      <c r="C35" s="229" t="s">
        <v>432</v>
      </c>
      <c r="D35" t="s">
        <v>1882</v>
      </c>
      <c r="E35" t="s">
        <v>298</v>
      </c>
      <c r="G35" s="235" t="s">
        <v>2300</v>
      </c>
      <c r="H35" s="229" t="s">
        <v>1883</v>
      </c>
      <c r="I35" s="229">
        <v>3053849</v>
      </c>
      <c r="J35" s="229">
        <v>2523687.87</v>
      </c>
      <c r="K35" s="229" t="s">
        <v>1884</v>
      </c>
      <c r="L35" s="229" t="s">
        <v>17</v>
      </c>
    </row>
    <row r="36" spans="2:12">
      <c r="B36" s="229">
        <v>31</v>
      </c>
      <c r="C36" s="229" t="s">
        <v>874</v>
      </c>
      <c r="D36" t="s">
        <v>2509</v>
      </c>
      <c r="E36" t="s">
        <v>298</v>
      </c>
      <c r="G36" s="235" t="s">
        <v>436</v>
      </c>
      <c r="H36" s="229" t="s">
        <v>1880</v>
      </c>
      <c r="I36" s="229">
        <v>490715</v>
      </c>
      <c r="J36" s="229">
        <v>542420</v>
      </c>
      <c r="K36" s="229" t="s">
        <v>1880</v>
      </c>
      <c r="L36" s="229" t="s">
        <v>17</v>
      </c>
    </row>
    <row r="37" spans="2:12">
      <c r="B37" s="229">
        <v>32</v>
      </c>
      <c r="C37" s="229" t="s">
        <v>432</v>
      </c>
      <c r="D37" t="s">
        <v>2510</v>
      </c>
      <c r="E37" t="s">
        <v>298</v>
      </c>
      <c r="G37" s="235" t="s">
        <v>438</v>
      </c>
      <c r="H37" s="229" t="s">
        <v>1881</v>
      </c>
      <c r="I37" s="229">
        <v>883407</v>
      </c>
      <c r="J37" s="229">
        <v>978038</v>
      </c>
      <c r="K37" s="229" t="s">
        <v>1881</v>
      </c>
      <c r="L37" s="229" t="s">
        <v>17</v>
      </c>
    </row>
    <row r="38" spans="2:12">
      <c r="B38" s="229">
        <v>33</v>
      </c>
      <c r="C38" s="229" t="s">
        <v>440</v>
      </c>
      <c r="D38" t="s">
        <v>1779</v>
      </c>
      <c r="G38" s="235" t="s">
        <v>2304</v>
      </c>
      <c r="H38" s="229" t="s">
        <v>1995</v>
      </c>
      <c r="I38" s="229">
        <v>65282</v>
      </c>
      <c r="J38" s="229">
        <v>133663</v>
      </c>
      <c r="K38" s="229" t="s">
        <v>1995</v>
      </c>
      <c r="L38" s="229" t="s">
        <v>17</v>
      </c>
    </row>
    <row r="39" spans="2:12">
      <c r="B39" s="229">
        <v>34</v>
      </c>
      <c r="C39" s="229" t="s">
        <v>392</v>
      </c>
      <c r="D39" t="s">
        <v>2511</v>
      </c>
      <c r="E39" t="s">
        <v>298</v>
      </c>
      <c r="G39" s="235" t="s">
        <v>393</v>
      </c>
      <c r="H39" s="229" t="s">
        <v>394</v>
      </c>
      <c r="I39" s="229">
        <v>132507</v>
      </c>
      <c r="J39" s="229">
        <v>134325</v>
      </c>
      <c r="K39" s="229" t="s">
        <v>394</v>
      </c>
      <c r="L39" s="229" t="s">
        <v>17</v>
      </c>
    </row>
    <row r="40" spans="2:12">
      <c r="B40" s="229">
        <v>35</v>
      </c>
      <c r="C40" s="229" t="s">
        <v>1975</v>
      </c>
      <c r="D40" t="s">
        <v>2512</v>
      </c>
      <c r="E40" t="s">
        <v>298</v>
      </c>
      <c r="G40" s="235" t="s">
        <v>356</v>
      </c>
      <c r="H40" s="229" t="s">
        <v>1977</v>
      </c>
      <c r="I40" s="229">
        <v>4928030</v>
      </c>
      <c r="J40" s="229">
        <v>3077585</v>
      </c>
      <c r="K40" s="229" t="s">
        <v>1977</v>
      </c>
      <c r="L40" s="229" t="s">
        <v>17</v>
      </c>
    </row>
    <row r="41" spans="2:12">
      <c r="B41" s="229">
        <v>36</v>
      </c>
      <c r="C41" s="229" t="s">
        <v>377</v>
      </c>
      <c r="D41" t="s">
        <v>2513</v>
      </c>
      <c r="E41" t="s">
        <v>298</v>
      </c>
      <c r="G41" s="235" t="s">
        <v>380</v>
      </c>
      <c r="H41" s="229" t="s">
        <v>1956</v>
      </c>
      <c r="I41" s="229">
        <v>133024</v>
      </c>
      <c r="J41" s="229">
        <v>157611</v>
      </c>
      <c r="K41" s="229" t="s">
        <v>1956</v>
      </c>
      <c r="L41" s="229" t="s">
        <v>17</v>
      </c>
    </row>
    <row r="42" spans="2:12">
      <c r="B42" s="229">
        <v>37</v>
      </c>
      <c r="C42" s="229" t="s">
        <v>377</v>
      </c>
      <c r="D42" t="s">
        <v>2514</v>
      </c>
      <c r="E42" t="s">
        <v>298</v>
      </c>
      <c r="G42" s="235" t="s">
        <v>382</v>
      </c>
      <c r="H42" s="229" t="s">
        <v>383</v>
      </c>
      <c r="I42" s="229">
        <v>2325219</v>
      </c>
      <c r="J42" s="229">
        <v>2214536.25</v>
      </c>
      <c r="K42" s="229" t="s">
        <v>383</v>
      </c>
      <c r="L42" s="229" t="s">
        <v>17</v>
      </c>
    </row>
    <row r="43" spans="2:12">
      <c r="B43" s="229">
        <v>38</v>
      </c>
      <c r="C43" s="229" t="s">
        <v>377</v>
      </c>
      <c r="D43" t="s">
        <v>2515</v>
      </c>
      <c r="E43" t="s">
        <v>298</v>
      </c>
      <c r="G43" s="235" t="s">
        <v>384</v>
      </c>
      <c r="H43" s="229" t="s">
        <v>1959</v>
      </c>
      <c r="I43" s="229">
        <v>200500</v>
      </c>
      <c r="J43" s="229">
        <v>303516</v>
      </c>
      <c r="K43" s="229" t="s">
        <v>1960</v>
      </c>
      <c r="L43" s="229" t="s">
        <v>17</v>
      </c>
    </row>
    <row r="44" spans="2:12">
      <c r="B44" s="229">
        <v>39</v>
      </c>
      <c r="C44" s="229" t="s">
        <v>377</v>
      </c>
      <c r="D44" t="s">
        <v>2516</v>
      </c>
      <c r="E44" t="s">
        <v>298</v>
      </c>
      <c r="G44" s="235" t="s">
        <v>2311</v>
      </c>
      <c r="H44" s="229" t="s">
        <v>386</v>
      </c>
      <c r="I44" s="229">
        <v>2825248</v>
      </c>
      <c r="J44" s="229">
        <v>316093.59999999998</v>
      </c>
      <c r="K44" s="229" t="s">
        <v>386</v>
      </c>
      <c r="L44" s="229" t="s">
        <v>17</v>
      </c>
    </row>
    <row r="45" spans="2:12">
      <c r="B45" s="229">
        <v>40</v>
      </c>
      <c r="C45" s="229" t="s">
        <v>377</v>
      </c>
      <c r="D45" t="s">
        <v>2517</v>
      </c>
      <c r="E45" t="s">
        <v>298</v>
      </c>
      <c r="G45" s="235" t="s">
        <v>387</v>
      </c>
      <c r="H45" s="229" t="s">
        <v>1951</v>
      </c>
      <c r="I45" s="229">
        <v>1400435</v>
      </c>
      <c r="J45" s="229">
        <v>782904.73</v>
      </c>
      <c r="K45" s="229" t="s">
        <v>1951</v>
      </c>
      <c r="L45" s="229" t="s">
        <v>17</v>
      </c>
    </row>
    <row r="46" spans="2:12">
      <c r="B46" s="229">
        <v>41</v>
      </c>
      <c r="C46" s="229" t="s">
        <v>377</v>
      </c>
      <c r="D46" t="s">
        <v>1952</v>
      </c>
      <c r="E46" t="s">
        <v>298</v>
      </c>
      <c r="G46" s="235" t="s">
        <v>388</v>
      </c>
      <c r="H46" s="229" t="s">
        <v>1953</v>
      </c>
      <c r="I46" s="229">
        <v>717259</v>
      </c>
      <c r="J46" s="229">
        <v>717259</v>
      </c>
      <c r="K46" s="229" t="s">
        <v>1954</v>
      </c>
      <c r="L46" s="229" t="s">
        <v>17</v>
      </c>
    </row>
    <row r="47" spans="2:12">
      <c r="B47" s="229">
        <v>42</v>
      </c>
      <c r="C47" s="229" t="s">
        <v>389</v>
      </c>
      <c r="D47" t="s">
        <v>2518</v>
      </c>
      <c r="E47" t="s">
        <v>298</v>
      </c>
      <c r="G47" s="235" t="s">
        <v>390</v>
      </c>
      <c r="H47" s="229" t="s">
        <v>1964</v>
      </c>
      <c r="I47" s="229">
        <v>493748</v>
      </c>
      <c r="J47" s="229">
        <v>422451.53</v>
      </c>
      <c r="K47" s="229" t="s">
        <v>1964</v>
      </c>
      <c r="L47" s="229" t="s">
        <v>17</v>
      </c>
    </row>
    <row r="48" spans="2:12">
      <c r="B48" s="229">
        <v>43</v>
      </c>
      <c r="C48" s="229" t="s">
        <v>2001</v>
      </c>
      <c r="D48" t="s">
        <v>2519</v>
      </c>
      <c r="E48" t="s">
        <v>2520</v>
      </c>
      <c r="G48" s="235" t="s">
        <v>2316</v>
      </c>
      <c r="H48" s="229" t="s">
        <v>2003</v>
      </c>
      <c r="I48" s="229">
        <v>16009161</v>
      </c>
      <c r="J48" s="229">
        <v>31376995</v>
      </c>
      <c r="K48" s="229" t="s">
        <v>2003</v>
      </c>
      <c r="L48" s="229" t="s">
        <v>17</v>
      </c>
    </row>
    <row r="49" spans="2:12">
      <c r="B49" s="229">
        <v>44</v>
      </c>
      <c r="C49" s="229" t="s">
        <v>395</v>
      </c>
      <c r="D49" t="s">
        <v>2521</v>
      </c>
      <c r="E49" t="s">
        <v>298</v>
      </c>
      <c r="G49" s="235" t="s">
        <v>396</v>
      </c>
      <c r="H49" s="229" t="s">
        <v>1997</v>
      </c>
      <c r="I49" s="229">
        <v>1692223</v>
      </c>
      <c r="J49" s="229">
        <v>2958098</v>
      </c>
      <c r="K49" s="229" t="s">
        <v>1997</v>
      </c>
      <c r="L49" s="229" t="s">
        <v>17</v>
      </c>
    </row>
    <row r="50" spans="2:12">
      <c r="B50" s="229">
        <v>45</v>
      </c>
      <c r="C50" s="229" t="s">
        <v>352</v>
      </c>
      <c r="D50" t="s">
        <v>2522</v>
      </c>
      <c r="E50" t="s">
        <v>298</v>
      </c>
      <c r="G50" s="235" t="s">
        <v>353</v>
      </c>
      <c r="H50" s="229" t="s">
        <v>2026</v>
      </c>
      <c r="I50" s="229">
        <v>16525277</v>
      </c>
      <c r="J50" s="229">
        <v>1</v>
      </c>
      <c r="K50" s="229" t="s">
        <v>2026</v>
      </c>
      <c r="L50" s="229" t="s">
        <v>17</v>
      </c>
    </row>
    <row r="51" spans="2:12">
      <c r="B51" s="229">
        <v>46</v>
      </c>
      <c r="C51" s="229" t="s">
        <v>397</v>
      </c>
      <c r="D51" t="s">
        <v>2029</v>
      </c>
      <c r="E51" t="s">
        <v>298</v>
      </c>
      <c r="G51" s="235" t="s">
        <v>398</v>
      </c>
      <c r="H51" s="229" t="s">
        <v>2030</v>
      </c>
      <c r="I51" s="229">
        <v>464864</v>
      </c>
      <c r="J51" s="229">
        <v>1058652.18</v>
      </c>
      <c r="K51" s="229" t="s">
        <v>2030</v>
      </c>
      <c r="L51" s="229" t="s">
        <v>17</v>
      </c>
    </row>
    <row r="52" spans="2:12">
      <c r="B52" s="229">
        <v>47</v>
      </c>
      <c r="C52" s="229" t="s">
        <v>397</v>
      </c>
      <c r="D52" t="s">
        <v>2523</v>
      </c>
      <c r="E52" t="s">
        <v>298</v>
      </c>
      <c r="G52" s="235" t="s">
        <v>2321</v>
      </c>
      <c r="H52" s="229" t="s">
        <v>2028</v>
      </c>
      <c r="I52" s="229">
        <v>334570</v>
      </c>
      <c r="J52" s="229">
        <v>346018.39</v>
      </c>
      <c r="K52" s="229" t="s">
        <v>2028</v>
      </c>
      <c r="L52" s="229" t="s">
        <v>17</v>
      </c>
    </row>
    <row r="53" spans="2:12">
      <c r="B53" s="229">
        <v>48</v>
      </c>
      <c r="C53" s="229" t="s">
        <v>358</v>
      </c>
      <c r="D53" t="s">
        <v>2524</v>
      </c>
      <c r="E53" t="s">
        <v>298</v>
      </c>
      <c r="G53" s="235" t="s">
        <v>2323</v>
      </c>
      <c r="H53" s="229" t="s">
        <v>360</v>
      </c>
      <c r="I53" s="229">
        <v>2769155</v>
      </c>
      <c r="J53" s="229">
        <v>1</v>
      </c>
      <c r="K53" s="229" t="s">
        <v>360</v>
      </c>
      <c r="L53" s="229" t="s">
        <v>17</v>
      </c>
    </row>
    <row r="54" spans="2:12">
      <c r="B54" s="229">
        <v>49</v>
      </c>
      <c r="C54" s="229" t="s">
        <v>402</v>
      </c>
      <c r="D54" t="s">
        <v>2525</v>
      </c>
      <c r="E54" t="s">
        <v>298</v>
      </c>
      <c r="G54" s="235" t="s">
        <v>2325</v>
      </c>
      <c r="H54" s="229" t="s">
        <v>2045</v>
      </c>
      <c r="I54" s="229">
        <v>152391</v>
      </c>
      <c r="J54" s="229">
        <v>158476.10999999999</v>
      </c>
      <c r="K54" s="229" t="s">
        <v>2045</v>
      </c>
      <c r="L54" s="229" t="s">
        <v>17</v>
      </c>
    </row>
    <row r="55" spans="2:12">
      <c r="B55" s="229">
        <v>50</v>
      </c>
      <c r="C55" s="229" t="s">
        <v>2526</v>
      </c>
      <c r="D55" t="s">
        <v>2527</v>
      </c>
      <c r="E55" t="s">
        <v>298</v>
      </c>
      <c r="G55" s="235" t="s">
        <v>2327</v>
      </c>
      <c r="H55" s="229" t="s">
        <v>1971</v>
      </c>
      <c r="I55" s="229">
        <v>1702360</v>
      </c>
      <c r="J55" s="229">
        <v>600582.25</v>
      </c>
      <c r="K55" s="229" t="s">
        <v>1971</v>
      </c>
      <c r="L55" s="229" t="s">
        <v>17</v>
      </c>
    </row>
    <row r="56" spans="2:12">
      <c r="B56" s="229">
        <v>51</v>
      </c>
      <c r="C56" s="229" t="s">
        <v>2526</v>
      </c>
      <c r="D56" t="s">
        <v>2528</v>
      </c>
      <c r="E56" t="s">
        <v>298</v>
      </c>
      <c r="G56" s="235" t="s">
        <v>2329</v>
      </c>
      <c r="H56" s="229" t="s">
        <v>1971</v>
      </c>
      <c r="I56" s="229">
        <v>7359350</v>
      </c>
      <c r="J56" s="229">
        <v>11879364</v>
      </c>
      <c r="K56" s="229" t="s">
        <v>1971</v>
      </c>
      <c r="L56" s="229" t="s">
        <v>17</v>
      </c>
    </row>
    <row r="57" spans="2:12">
      <c r="B57" s="229">
        <v>52</v>
      </c>
      <c r="C57" s="229" t="s">
        <v>2526</v>
      </c>
      <c r="D57" t="s">
        <v>2529</v>
      </c>
      <c r="E57" t="s">
        <v>298</v>
      </c>
      <c r="G57" s="235" t="s">
        <v>2331</v>
      </c>
      <c r="H57" s="229" t="s">
        <v>1971</v>
      </c>
      <c r="I57" s="229">
        <v>2828513</v>
      </c>
      <c r="J57" s="229">
        <v>4554506</v>
      </c>
      <c r="K57" s="229" t="s">
        <v>1971</v>
      </c>
      <c r="L57" s="229" t="s">
        <v>17</v>
      </c>
    </row>
    <row r="58" spans="2:12">
      <c r="B58" s="229">
        <v>53</v>
      </c>
      <c r="C58" s="229" t="s">
        <v>2526</v>
      </c>
      <c r="D58" t="s">
        <v>2530</v>
      </c>
      <c r="E58" t="s">
        <v>298</v>
      </c>
      <c r="G58" s="235" t="s">
        <v>2333</v>
      </c>
      <c r="H58" s="229" t="s">
        <v>1971</v>
      </c>
      <c r="I58" s="229">
        <v>4320376</v>
      </c>
      <c r="J58" s="229">
        <v>6956783</v>
      </c>
      <c r="K58" s="229" t="s">
        <v>1971</v>
      </c>
      <c r="L58" s="229" t="s">
        <v>17</v>
      </c>
    </row>
    <row r="59" spans="2:12">
      <c r="B59" s="229">
        <v>54</v>
      </c>
      <c r="C59" s="229" t="s">
        <v>1922</v>
      </c>
      <c r="D59" t="s">
        <v>2531</v>
      </c>
      <c r="E59" t="s">
        <v>298</v>
      </c>
      <c r="G59" s="235" t="s">
        <v>2335</v>
      </c>
      <c r="H59" s="229" t="s">
        <v>1924</v>
      </c>
      <c r="I59" s="229">
        <v>23214200</v>
      </c>
      <c r="J59" s="229">
        <v>44279422</v>
      </c>
      <c r="K59" s="229" t="s">
        <v>1925</v>
      </c>
      <c r="L59" s="229" t="s">
        <v>17</v>
      </c>
    </row>
    <row r="60" spans="2:12">
      <c r="B60" s="229">
        <v>55</v>
      </c>
      <c r="C60" s="229" t="s">
        <v>1922</v>
      </c>
      <c r="D60" t="s">
        <v>2532</v>
      </c>
      <c r="E60" t="s">
        <v>2533</v>
      </c>
      <c r="G60" s="235" t="s">
        <v>2337</v>
      </c>
      <c r="H60" s="229" t="s">
        <v>1929</v>
      </c>
      <c r="I60" s="229">
        <v>19653350</v>
      </c>
      <c r="J60" s="229">
        <v>32088849</v>
      </c>
      <c r="K60" s="229" t="s">
        <v>1925</v>
      </c>
      <c r="L60" s="229" t="s">
        <v>17</v>
      </c>
    </row>
    <row r="61" spans="2:12">
      <c r="B61" s="229">
        <v>56</v>
      </c>
      <c r="C61" s="229" t="s">
        <v>1922</v>
      </c>
      <c r="D61" t="s">
        <v>2534</v>
      </c>
      <c r="E61" t="s">
        <v>298</v>
      </c>
      <c r="G61" s="235" t="s">
        <v>2339</v>
      </c>
      <c r="H61" s="229" t="s">
        <v>1927</v>
      </c>
      <c r="I61" s="229">
        <v>5243565</v>
      </c>
      <c r="J61" s="229">
        <v>9093804</v>
      </c>
      <c r="K61" s="229" t="s">
        <v>1925</v>
      </c>
      <c r="L61" s="229" t="s">
        <v>17</v>
      </c>
    </row>
    <row r="62" spans="2:12">
      <c r="B62" s="229">
        <v>57</v>
      </c>
      <c r="C62" s="229" t="s">
        <v>26</v>
      </c>
      <c r="D62" t="s">
        <v>2535</v>
      </c>
      <c r="G62" s="235" t="s">
        <v>2341</v>
      </c>
      <c r="H62" s="229" t="s">
        <v>2016</v>
      </c>
      <c r="I62" s="229">
        <v>180318659</v>
      </c>
      <c r="J62" s="229">
        <v>56854251.939999998</v>
      </c>
      <c r="K62" s="229" t="s">
        <v>2016</v>
      </c>
      <c r="L62" s="229" t="s">
        <v>17</v>
      </c>
    </row>
    <row r="63" spans="2:12">
      <c r="B63" s="229">
        <v>58</v>
      </c>
      <c r="C63" s="229" t="s">
        <v>472</v>
      </c>
      <c r="D63" s="237">
        <v>41671</v>
      </c>
      <c r="E63" t="s">
        <v>298</v>
      </c>
      <c r="G63" s="235" t="s">
        <v>2343</v>
      </c>
      <c r="H63" s="229" t="s">
        <v>1757</v>
      </c>
      <c r="I63" s="229">
        <v>4058358</v>
      </c>
      <c r="J63" s="229">
        <v>882090</v>
      </c>
      <c r="K63" s="229" t="s">
        <v>1758</v>
      </c>
      <c r="L63" s="229" t="s">
        <v>17</v>
      </c>
    </row>
    <row r="64" spans="2:12">
      <c r="B64" s="229">
        <v>59</v>
      </c>
      <c r="C64" s="229" t="s">
        <v>882</v>
      </c>
      <c r="D64" t="s">
        <v>2536</v>
      </c>
      <c r="E64" t="s">
        <v>298</v>
      </c>
      <c r="G64" s="235" t="s">
        <v>2345</v>
      </c>
      <c r="H64" s="229" t="s">
        <v>1754</v>
      </c>
      <c r="I64" s="229">
        <v>5852687</v>
      </c>
      <c r="J64" s="229">
        <v>3649711</v>
      </c>
      <c r="K64" s="229" t="s">
        <v>1755</v>
      </c>
      <c r="L64" s="229" t="s">
        <v>17</v>
      </c>
    </row>
    <row r="65" spans="2:12">
      <c r="B65" s="229">
        <v>60</v>
      </c>
      <c r="C65" s="229" t="s">
        <v>883</v>
      </c>
      <c r="D65" t="s">
        <v>2537</v>
      </c>
      <c r="E65" t="s">
        <v>298</v>
      </c>
      <c r="G65" s="235" t="s">
        <v>478</v>
      </c>
      <c r="H65" s="229" t="s">
        <v>1902</v>
      </c>
      <c r="I65" s="229">
        <v>7852140</v>
      </c>
      <c r="J65" s="229">
        <v>9924532</v>
      </c>
      <c r="K65" s="229" t="s">
        <v>1903</v>
      </c>
      <c r="L65" s="229" t="s">
        <v>17</v>
      </c>
    </row>
    <row r="66" spans="2:12">
      <c r="B66" s="229">
        <v>61</v>
      </c>
      <c r="C66" s="229" t="s">
        <v>883</v>
      </c>
      <c r="D66" t="s">
        <v>2538</v>
      </c>
      <c r="E66" t="s">
        <v>298</v>
      </c>
      <c r="G66" s="235" t="s">
        <v>479</v>
      </c>
      <c r="H66" s="229" t="s">
        <v>1899</v>
      </c>
      <c r="I66" s="229">
        <v>981776</v>
      </c>
      <c r="J66" s="229">
        <v>1194042</v>
      </c>
      <c r="K66" s="229" t="s">
        <v>1900</v>
      </c>
      <c r="L66" s="229" t="s">
        <v>17</v>
      </c>
    </row>
    <row r="67" spans="2:12">
      <c r="B67" s="229">
        <v>62</v>
      </c>
      <c r="C67" s="229" t="s">
        <v>2539</v>
      </c>
      <c r="D67" t="s">
        <v>1802</v>
      </c>
      <c r="G67" s="235" t="s">
        <v>32</v>
      </c>
      <c r="H67" s="229" t="s">
        <v>1803</v>
      </c>
      <c r="I67" s="229">
        <v>12987406</v>
      </c>
      <c r="J67" s="229">
        <v>9373810</v>
      </c>
      <c r="K67" s="229" t="s">
        <v>1803</v>
      </c>
      <c r="L67" s="229" t="s">
        <v>17</v>
      </c>
    </row>
    <row r="68" spans="2:12">
      <c r="B68" s="229">
        <v>63</v>
      </c>
      <c r="C68" s="229" t="s">
        <v>2011</v>
      </c>
      <c r="D68" t="s">
        <v>2628</v>
      </c>
      <c r="G68" s="235" t="s">
        <v>532</v>
      </c>
      <c r="H68" s="229" t="s">
        <v>2013</v>
      </c>
      <c r="I68" s="229">
        <v>685852</v>
      </c>
      <c r="J68" s="229">
        <v>982167</v>
      </c>
      <c r="K68" s="229" t="s">
        <v>2014</v>
      </c>
      <c r="L68" s="229" t="s">
        <v>17</v>
      </c>
    </row>
    <row r="69" spans="2:12">
      <c r="B69" s="229">
        <v>64</v>
      </c>
      <c r="C69" s="229" t="s">
        <v>1691</v>
      </c>
      <c r="D69" t="s">
        <v>2540</v>
      </c>
      <c r="E69" t="s">
        <v>298</v>
      </c>
      <c r="G69" s="235" t="s">
        <v>518</v>
      </c>
      <c r="H69" s="229" t="s">
        <v>2055</v>
      </c>
      <c r="I69" s="229">
        <v>24851035</v>
      </c>
      <c r="J69" s="229">
        <v>5199211.5999999996</v>
      </c>
      <c r="K69" s="229" t="s">
        <v>2055</v>
      </c>
      <c r="L69" s="229" t="s">
        <v>17</v>
      </c>
    </row>
    <row r="70" spans="2:12">
      <c r="B70" s="229">
        <v>65</v>
      </c>
      <c r="C70" s="229" t="s">
        <v>1691</v>
      </c>
      <c r="D70" t="s">
        <v>2541</v>
      </c>
      <c r="E70" t="s">
        <v>298</v>
      </c>
      <c r="G70" s="235" t="s">
        <v>519</v>
      </c>
      <c r="H70" s="229" t="s">
        <v>2051</v>
      </c>
      <c r="I70" s="229">
        <v>39098333</v>
      </c>
      <c r="J70" s="229">
        <v>43504031</v>
      </c>
      <c r="K70" s="229" t="s">
        <v>2051</v>
      </c>
      <c r="L70" s="229" t="s">
        <v>17</v>
      </c>
    </row>
    <row r="71" spans="2:12">
      <c r="B71" s="229">
        <v>66</v>
      </c>
      <c r="C71" s="229" t="s">
        <v>1582</v>
      </c>
      <c r="D71" t="s">
        <v>1744</v>
      </c>
      <c r="G71" s="235" t="s">
        <v>63</v>
      </c>
      <c r="H71" s="229" t="s">
        <v>1745</v>
      </c>
      <c r="I71" s="229">
        <v>1091718171</v>
      </c>
      <c r="J71" s="229">
        <v>1098861368</v>
      </c>
      <c r="K71" s="229" t="s">
        <v>1743</v>
      </c>
      <c r="L71" s="229" t="s">
        <v>17</v>
      </c>
    </row>
    <row r="72" spans="2:12">
      <c r="B72" s="229">
        <v>67</v>
      </c>
      <c r="C72" s="229" t="s">
        <v>1691</v>
      </c>
      <c r="D72" t="s">
        <v>2542</v>
      </c>
      <c r="E72" t="s">
        <v>298</v>
      </c>
      <c r="G72" s="235" t="s">
        <v>520</v>
      </c>
      <c r="H72" s="229" t="s">
        <v>2053</v>
      </c>
      <c r="I72" s="229">
        <v>48442866</v>
      </c>
      <c r="J72" s="229">
        <v>41656889</v>
      </c>
      <c r="K72" s="229" t="s">
        <v>2053</v>
      </c>
      <c r="L72" s="229" t="s">
        <v>17</v>
      </c>
    </row>
    <row r="73" spans="2:12">
      <c r="B73" s="229">
        <v>68</v>
      </c>
      <c r="C73" s="229" t="s">
        <v>2543</v>
      </c>
      <c r="D73" t="s">
        <v>2544</v>
      </c>
      <c r="F73" t="s">
        <v>2546</v>
      </c>
      <c r="G73" s="235" t="s">
        <v>2355</v>
      </c>
      <c r="H73" s="229" t="s">
        <v>1742</v>
      </c>
      <c r="I73" s="229">
        <v>894607482</v>
      </c>
      <c r="J73" s="229">
        <v>697900233</v>
      </c>
      <c r="K73" s="229" t="s">
        <v>1743</v>
      </c>
      <c r="L73" s="229" t="s">
        <v>17</v>
      </c>
    </row>
    <row r="74" spans="2:12">
      <c r="B74" s="229">
        <v>69</v>
      </c>
      <c r="C74" s="229" t="s">
        <v>499</v>
      </c>
      <c r="D74" t="s">
        <v>2545</v>
      </c>
      <c r="E74" t="s">
        <v>2533</v>
      </c>
      <c r="G74" s="235" t="s">
        <v>496</v>
      </c>
      <c r="H74" s="229" t="s">
        <v>1836</v>
      </c>
      <c r="I74" s="229">
        <v>44181258</v>
      </c>
      <c r="J74" s="229">
        <v>11915017</v>
      </c>
      <c r="K74" s="229" t="s">
        <v>1836</v>
      </c>
      <c r="L74" s="229" t="s">
        <v>17</v>
      </c>
    </row>
    <row r="75" spans="2:12">
      <c r="B75" s="229">
        <v>70</v>
      </c>
      <c r="C75" s="229" t="s">
        <v>517</v>
      </c>
      <c r="D75" t="s">
        <v>2629</v>
      </c>
      <c r="E75">
        <v>35</v>
      </c>
      <c r="F75" t="s">
        <v>298</v>
      </c>
      <c r="G75" s="235" t="s">
        <v>2358</v>
      </c>
      <c r="H75" s="229" t="s">
        <v>2056</v>
      </c>
      <c r="I75" s="229">
        <v>120523148</v>
      </c>
      <c r="J75" s="229">
        <v>108858105</v>
      </c>
      <c r="K75" s="229" t="s">
        <v>2056</v>
      </c>
      <c r="L75" s="229" t="s">
        <v>17</v>
      </c>
    </row>
    <row r="76" spans="2:12">
      <c r="B76" s="229">
        <v>71</v>
      </c>
      <c r="C76" s="229" t="s">
        <v>1436</v>
      </c>
      <c r="D76" t="s">
        <v>2630</v>
      </c>
      <c r="E76" t="s">
        <v>2547</v>
      </c>
      <c r="G76" s="235" t="s">
        <v>2360</v>
      </c>
      <c r="H76" s="229" t="s">
        <v>1983</v>
      </c>
      <c r="I76" s="229">
        <v>35800000</v>
      </c>
      <c r="J76" s="229">
        <v>18196863.579999998</v>
      </c>
      <c r="K76" s="229" t="s">
        <v>1983</v>
      </c>
      <c r="L76" s="229" t="s">
        <v>17</v>
      </c>
    </row>
    <row r="77" spans="2:12">
      <c r="B77" s="229">
        <v>72</v>
      </c>
      <c r="C77" s="229" t="s">
        <v>2631</v>
      </c>
      <c r="D77" t="s">
        <v>2632</v>
      </c>
      <c r="E77" t="s">
        <v>2548</v>
      </c>
      <c r="G77" s="235" t="s">
        <v>1817</v>
      </c>
      <c r="H77" s="229" t="s">
        <v>1818</v>
      </c>
      <c r="I77" s="229">
        <v>124900000</v>
      </c>
      <c r="J77" s="229">
        <v>114488413.41</v>
      </c>
      <c r="K77" s="229" t="s">
        <v>1818</v>
      </c>
      <c r="L77" s="229" t="s">
        <v>17</v>
      </c>
    </row>
    <row r="78" spans="2:12">
      <c r="B78" s="229">
        <v>73</v>
      </c>
      <c r="C78" s="229" t="s">
        <v>86</v>
      </c>
      <c r="D78" t="s">
        <v>1984</v>
      </c>
      <c r="G78" s="235" t="s">
        <v>2363</v>
      </c>
      <c r="H78" s="229" t="s">
        <v>1985</v>
      </c>
      <c r="I78" s="229">
        <v>21866000</v>
      </c>
      <c r="J78" s="229">
        <v>24432000</v>
      </c>
      <c r="K78" s="229" t="s">
        <v>1986</v>
      </c>
      <c r="L78" s="229" t="s">
        <v>17</v>
      </c>
    </row>
    <row r="79" spans="2:12">
      <c r="B79" s="229">
        <v>74</v>
      </c>
      <c r="C79" s="229" t="s">
        <v>499</v>
      </c>
      <c r="D79" t="s">
        <v>2549</v>
      </c>
      <c r="E79" t="s">
        <v>2533</v>
      </c>
      <c r="G79" s="235" t="s">
        <v>2365</v>
      </c>
      <c r="H79" s="229" t="s">
        <v>1834</v>
      </c>
      <c r="I79" s="229">
        <v>30103211</v>
      </c>
      <c r="J79" s="229">
        <v>28958052</v>
      </c>
      <c r="K79" s="229" t="s">
        <v>1834</v>
      </c>
      <c r="L79" s="229" t="s">
        <v>17</v>
      </c>
    </row>
    <row r="80" spans="2:12">
      <c r="B80" s="229">
        <v>75</v>
      </c>
      <c r="C80" s="229" t="s">
        <v>2057</v>
      </c>
      <c r="D80" t="s">
        <v>2550</v>
      </c>
      <c r="G80" s="235" t="s">
        <v>2367</v>
      </c>
      <c r="H80" s="229" t="s">
        <v>2059</v>
      </c>
      <c r="I80" s="229">
        <v>18120069</v>
      </c>
      <c r="J80" s="229">
        <v>11837281.1</v>
      </c>
      <c r="K80" s="229" t="s">
        <v>2059</v>
      </c>
      <c r="L80" s="229" t="s">
        <v>17</v>
      </c>
    </row>
    <row r="81" spans="2:12">
      <c r="B81" s="229">
        <v>76</v>
      </c>
      <c r="C81" s="229" t="s">
        <v>1832</v>
      </c>
      <c r="D81" t="s">
        <v>2633</v>
      </c>
      <c r="G81" s="235" t="s">
        <v>2369</v>
      </c>
      <c r="H81" s="229" t="s">
        <v>1838</v>
      </c>
      <c r="I81" s="229">
        <v>39003751</v>
      </c>
      <c r="J81" s="229">
        <v>49475775</v>
      </c>
      <c r="K81" s="229" t="s">
        <v>1838</v>
      </c>
      <c r="L81" s="229" t="s">
        <v>17</v>
      </c>
    </row>
    <row r="82" spans="2:12">
      <c r="B82" s="229">
        <v>77</v>
      </c>
      <c r="C82" s="229" t="s">
        <v>1436</v>
      </c>
      <c r="D82" t="s">
        <v>1989</v>
      </c>
      <c r="G82" s="235" t="s">
        <v>2371</v>
      </c>
      <c r="H82" s="229" t="s">
        <v>1990</v>
      </c>
      <c r="I82" s="229">
        <v>34868700</v>
      </c>
      <c r="J82" s="229">
        <v>35803260</v>
      </c>
      <c r="K82" s="229" t="s">
        <v>1990</v>
      </c>
      <c r="L82" s="229" t="s">
        <v>17</v>
      </c>
    </row>
    <row r="83" spans="2:12">
      <c r="B83" s="229">
        <v>78</v>
      </c>
      <c r="C83" s="229" t="s">
        <v>549</v>
      </c>
      <c r="D83" t="s">
        <v>2551</v>
      </c>
      <c r="E83" t="s">
        <v>2533</v>
      </c>
      <c r="G83" s="235" t="s">
        <v>2373</v>
      </c>
      <c r="H83" s="229" t="s">
        <v>1810</v>
      </c>
      <c r="I83" s="229">
        <v>8483218</v>
      </c>
      <c r="J83" s="229">
        <v>10783162.1</v>
      </c>
      <c r="K83" s="229" t="s">
        <v>1810</v>
      </c>
      <c r="L83" s="229" t="s">
        <v>17</v>
      </c>
    </row>
    <row r="84" spans="2:12">
      <c r="B84" s="229">
        <v>79</v>
      </c>
      <c r="C84" s="229" t="s">
        <v>2552</v>
      </c>
      <c r="D84" t="s">
        <v>2553</v>
      </c>
      <c r="G84" s="235" t="s">
        <v>2375</v>
      </c>
      <c r="H84" s="229" t="s">
        <v>1949</v>
      </c>
      <c r="I84" s="229">
        <v>46314965</v>
      </c>
      <c r="J84" s="229">
        <v>69199370.510000005</v>
      </c>
      <c r="K84" s="229" t="s">
        <v>1949</v>
      </c>
      <c r="L84" s="229" t="s">
        <v>17</v>
      </c>
    </row>
    <row r="85" spans="2:12">
      <c r="B85" s="229">
        <v>80</v>
      </c>
      <c r="C85" s="229" t="s">
        <v>1427</v>
      </c>
      <c r="D85" t="s">
        <v>2554</v>
      </c>
      <c r="G85" s="235" t="s">
        <v>2377</v>
      </c>
      <c r="H85" s="229" t="s">
        <v>1842</v>
      </c>
      <c r="I85" s="229">
        <v>152800000</v>
      </c>
      <c r="J85" s="229">
        <v>199146108</v>
      </c>
      <c r="K85" s="229" t="s">
        <v>1842</v>
      </c>
      <c r="L85" s="229" t="s">
        <v>17</v>
      </c>
    </row>
    <row r="86" spans="2:12">
      <c r="B86" s="229">
        <v>81</v>
      </c>
      <c r="C86" s="229" t="s">
        <v>107</v>
      </c>
      <c r="D86" t="s">
        <v>2555</v>
      </c>
      <c r="E86" t="s">
        <v>2556</v>
      </c>
      <c r="F86" t="s">
        <v>298</v>
      </c>
      <c r="G86" s="235" t="s">
        <v>2379</v>
      </c>
      <c r="H86" s="229" t="s">
        <v>1840</v>
      </c>
      <c r="I86" s="229">
        <v>74362814</v>
      </c>
      <c r="J86" s="229">
        <v>97585676</v>
      </c>
      <c r="K86" s="229" t="s">
        <v>1840</v>
      </c>
      <c r="L86" s="229" t="s">
        <v>17</v>
      </c>
    </row>
    <row r="87" spans="2:12">
      <c r="B87" s="229">
        <v>82</v>
      </c>
      <c r="C87" s="229" t="s">
        <v>906</v>
      </c>
      <c r="D87" t="s">
        <v>2557</v>
      </c>
      <c r="E87" t="s">
        <v>2533</v>
      </c>
      <c r="G87" s="235" t="s">
        <v>2381</v>
      </c>
      <c r="H87" s="229" t="s">
        <v>1840</v>
      </c>
      <c r="I87" s="229">
        <v>45053848</v>
      </c>
      <c r="J87" s="229">
        <v>50092282</v>
      </c>
      <c r="K87" s="229" t="s">
        <v>1840</v>
      </c>
      <c r="L87" s="229" t="s">
        <v>17</v>
      </c>
    </row>
    <row r="88" spans="2:12">
      <c r="B88" s="229">
        <v>83</v>
      </c>
      <c r="C88" s="229" t="s">
        <v>2558</v>
      </c>
      <c r="D88" t="s">
        <v>2559</v>
      </c>
      <c r="E88" t="s">
        <v>2560</v>
      </c>
      <c r="G88" s="235" t="s">
        <v>2383</v>
      </c>
      <c r="H88" s="229" t="s">
        <v>1940</v>
      </c>
      <c r="I88" s="229">
        <v>2825711</v>
      </c>
      <c r="J88" s="229">
        <v>1757517.7</v>
      </c>
      <c r="K88" s="229" t="s">
        <v>1940</v>
      </c>
      <c r="L88" s="229" t="s">
        <v>17</v>
      </c>
    </row>
    <row r="89" spans="2:12">
      <c r="B89" s="229">
        <v>84</v>
      </c>
      <c r="C89" s="229" t="s">
        <v>1427</v>
      </c>
      <c r="D89" t="s">
        <v>2634</v>
      </c>
      <c r="E89" t="s">
        <v>2556</v>
      </c>
      <c r="G89" s="235" t="s">
        <v>1845</v>
      </c>
      <c r="H89" s="229" t="s">
        <v>1812</v>
      </c>
      <c r="I89" s="229">
        <v>47371116</v>
      </c>
      <c r="J89" s="229">
        <v>60430093</v>
      </c>
      <c r="K89" s="229" t="s">
        <v>1812</v>
      </c>
      <c r="L89" s="229" t="s">
        <v>17</v>
      </c>
    </row>
    <row r="90" spans="2:12">
      <c r="B90" s="229">
        <v>85</v>
      </c>
      <c r="C90" s="229" t="s">
        <v>1808</v>
      </c>
      <c r="D90" t="s">
        <v>2635</v>
      </c>
      <c r="E90" t="s">
        <v>2533</v>
      </c>
      <c r="G90" s="235" t="s">
        <v>2386</v>
      </c>
      <c r="H90" s="229" t="s">
        <v>1812</v>
      </c>
      <c r="I90" s="229">
        <v>13966773</v>
      </c>
      <c r="J90" s="229">
        <v>15745406</v>
      </c>
      <c r="K90" s="229" t="s">
        <v>1812</v>
      </c>
      <c r="L90" s="229" t="s">
        <v>17</v>
      </c>
    </row>
    <row r="91" spans="2:12">
      <c r="B91" s="229">
        <v>86</v>
      </c>
      <c r="C91" s="229" t="s">
        <v>1991</v>
      </c>
      <c r="D91" t="s">
        <v>2561</v>
      </c>
      <c r="E91" t="s">
        <v>2533</v>
      </c>
      <c r="G91" s="235" t="s">
        <v>1992</v>
      </c>
      <c r="H91" s="229" t="s">
        <v>1993</v>
      </c>
      <c r="I91" s="229">
        <v>20660582</v>
      </c>
      <c r="J91" s="229">
        <v>22145375</v>
      </c>
      <c r="K91" s="229" t="s">
        <v>1993</v>
      </c>
      <c r="L91" s="229" t="s">
        <v>17</v>
      </c>
    </row>
    <row r="92" spans="2:12">
      <c r="B92" s="229">
        <v>87</v>
      </c>
      <c r="C92" s="229" t="s">
        <v>1978</v>
      </c>
      <c r="D92" t="s">
        <v>2636</v>
      </c>
      <c r="G92" s="235" t="s">
        <v>2389</v>
      </c>
      <c r="H92" s="229" t="s">
        <v>1980</v>
      </c>
      <c r="I92" s="229">
        <v>11806000</v>
      </c>
      <c r="J92" s="229">
        <v>12190896</v>
      </c>
      <c r="K92" s="229" t="s">
        <v>1980</v>
      </c>
      <c r="L92" s="229" t="s">
        <v>17</v>
      </c>
    </row>
    <row r="93" spans="2:12">
      <c r="B93" s="229">
        <v>88</v>
      </c>
      <c r="C93" s="229" t="s">
        <v>2637</v>
      </c>
      <c r="D93" t="s">
        <v>2638</v>
      </c>
      <c r="G93" s="235" t="s">
        <v>2391</v>
      </c>
      <c r="H93" s="229" t="s">
        <v>1724</v>
      </c>
      <c r="I93" s="229">
        <v>5154000</v>
      </c>
      <c r="J93" s="229">
        <v>5674012</v>
      </c>
      <c r="K93" s="229" t="s">
        <v>1724</v>
      </c>
      <c r="L93" s="229" t="s">
        <v>17</v>
      </c>
    </row>
    <row r="94" spans="2:12">
      <c r="B94" s="229">
        <v>89</v>
      </c>
      <c r="C94" s="229" t="s">
        <v>1722</v>
      </c>
      <c r="D94" t="s">
        <v>2639</v>
      </c>
      <c r="G94" s="235" t="s">
        <v>2393</v>
      </c>
      <c r="H94" s="229" t="s">
        <v>1724</v>
      </c>
      <c r="I94" s="229">
        <v>7058000</v>
      </c>
      <c r="J94" s="229">
        <v>5920717</v>
      </c>
      <c r="K94" s="229" t="s">
        <v>1724</v>
      </c>
      <c r="L94" s="229" t="s">
        <v>17</v>
      </c>
    </row>
    <row r="95" spans="2:12">
      <c r="B95" s="229">
        <v>90</v>
      </c>
      <c r="C95" s="229" t="s">
        <v>1915</v>
      </c>
      <c r="D95" t="s">
        <v>2640</v>
      </c>
      <c r="G95" s="235" t="s">
        <v>2395</v>
      </c>
      <c r="H95" s="229" t="s">
        <v>1917</v>
      </c>
      <c r="I95" s="229">
        <v>9594949</v>
      </c>
      <c r="J95" s="229">
        <v>3014156.8</v>
      </c>
      <c r="K95" s="229" t="s">
        <v>1917</v>
      </c>
      <c r="L95" s="229" t="s">
        <v>17</v>
      </c>
    </row>
    <row r="96" spans="2:12">
      <c r="B96" s="229">
        <v>91</v>
      </c>
      <c r="C96" s="229" t="s">
        <v>1965</v>
      </c>
      <c r="D96" t="s">
        <v>2562</v>
      </c>
      <c r="G96" s="235" t="s">
        <v>1966</v>
      </c>
      <c r="H96" s="229" t="s">
        <v>1967</v>
      </c>
      <c r="I96" s="229">
        <v>180397050</v>
      </c>
      <c r="J96" s="229">
        <v>271306730</v>
      </c>
      <c r="K96" s="229" t="s">
        <v>1967</v>
      </c>
      <c r="L96" s="229" t="s">
        <v>17</v>
      </c>
    </row>
    <row r="97" spans="2:12">
      <c r="B97" s="229">
        <v>92</v>
      </c>
      <c r="C97" s="229" t="s">
        <v>1978</v>
      </c>
      <c r="D97" t="s">
        <v>2641</v>
      </c>
      <c r="G97" s="235" t="s">
        <v>2398</v>
      </c>
      <c r="H97" s="229" t="s">
        <v>1982</v>
      </c>
      <c r="I97" s="229">
        <v>25397442</v>
      </c>
      <c r="J97" s="229">
        <v>25589363</v>
      </c>
      <c r="K97" s="229" t="s">
        <v>1982</v>
      </c>
      <c r="L97" s="229" t="s">
        <v>17</v>
      </c>
    </row>
    <row r="98" spans="2:12">
      <c r="B98" s="229">
        <v>93</v>
      </c>
      <c r="C98" s="229" t="s">
        <v>1965</v>
      </c>
      <c r="D98" t="s">
        <v>2563</v>
      </c>
      <c r="E98" t="s">
        <v>298</v>
      </c>
      <c r="G98" s="235" t="s">
        <v>1968</v>
      </c>
      <c r="H98" s="229" t="s">
        <v>1969</v>
      </c>
      <c r="I98" s="229">
        <v>1440704</v>
      </c>
      <c r="J98" s="229">
        <v>2178847.1800000002</v>
      </c>
      <c r="K98" s="229" t="s">
        <v>1969</v>
      </c>
      <c r="L98" s="229" t="s">
        <v>17</v>
      </c>
    </row>
    <row r="99" spans="2:12">
      <c r="B99" s="229">
        <v>94</v>
      </c>
      <c r="C99" s="229" t="s">
        <v>1907</v>
      </c>
      <c r="D99" t="s">
        <v>1910</v>
      </c>
      <c r="G99" s="235" t="s">
        <v>1910</v>
      </c>
      <c r="H99" s="229" t="s">
        <v>1911</v>
      </c>
      <c r="I99" s="229">
        <v>26850000</v>
      </c>
      <c r="J99" s="229">
        <v>30482892</v>
      </c>
      <c r="K99" s="229" t="s">
        <v>1911</v>
      </c>
      <c r="L99" s="229" t="s">
        <v>17</v>
      </c>
    </row>
    <row r="100" spans="2:12">
      <c r="B100" s="229">
        <v>95</v>
      </c>
      <c r="C100" s="229" t="s">
        <v>634</v>
      </c>
      <c r="D100" t="s">
        <v>2564</v>
      </c>
      <c r="E100" t="s">
        <v>298</v>
      </c>
      <c r="G100" s="235" t="s">
        <v>2402</v>
      </c>
      <c r="H100" s="229" t="s">
        <v>1906</v>
      </c>
      <c r="I100" s="229">
        <v>40387469</v>
      </c>
      <c r="J100" s="229">
        <v>40870355</v>
      </c>
      <c r="K100" s="229" t="s">
        <v>1906</v>
      </c>
      <c r="L100" s="229" t="s">
        <v>17</v>
      </c>
    </row>
    <row r="101" spans="2:12">
      <c r="B101" s="229">
        <v>96</v>
      </c>
      <c r="C101" s="229" t="s">
        <v>631</v>
      </c>
      <c r="D101" t="s">
        <v>2565</v>
      </c>
      <c r="E101" t="s">
        <v>2533</v>
      </c>
      <c r="G101" s="235" t="s">
        <v>2404</v>
      </c>
      <c r="H101" s="229" t="s">
        <v>1726</v>
      </c>
      <c r="I101" s="229">
        <v>1066691</v>
      </c>
      <c r="J101" s="229">
        <v>2752970.24</v>
      </c>
      <c r="K101" s="229" t="s">
        <v>1726</v>
      </c>
      <c r="L101" s="229" t="s">
        <v>17</v>
      </c>
    </row>
    <row r="102" spans="2:12">
      <c r="B102" s="229">
        <v>97</v>
      </c>
      <c r="C102" s="229" t="s">
        <v>623</v>
      </c>
      <c r="D102" t="s">
        <v>2566</v>
      </c>
      <c r="E102" t="s">
        <v>2533</v>
      </c>
      <c r="G102" s="235" t="s">
        <v>1727</v>
      </c>
      <c r="H102" s="229" t="s">
        <v>1728</v>
      </c>
      <c r="I102" s="229">
        <v>12412332</v>
      </c>
      <c r="J102" s="229">
        <v>13650030</v>
      </c>
      <c r="K102" s="229" t="s">
        <v>1728</v>
      </c>
      <c r="L102" s="229" t="s">
        <v>17</v>
      </c>
    </row>
    <row r="103" spans="2:12">
      <c r="B103" s="229">
        <v>98</v>
      </c>
      <c r="C103" s="229" t="s">
        <v>620</v>
      </c>
      <c r="D103" t="s">
        <v>2567</v>
      </c>
      <c r="E103" t="s">
        <v>2533</v>
      </c>
      <c r="G103" s="235" t="s">
        <v>1868</v>
      </c>
      <c r="H103" s="229" t="s">
        <v>1869</v>
      </c>
      <c r="I103" s="229">
        <v>11998798</v>
      </c>
      <c r="J103" s="229">
        <v>5539317.6100000003</v>
      </c>
      <c r="K103" s="229" t="s">
        <v>1869</v>
      </c>
      <c r="L103" s="229" t="s">
        <v>17</v>
      </c>
    </row>
    <row r="104" spans="2:12">
      <c r="B104" s="229">
        <v>99</v>
      </c>
      <c r="C104" s="229" t="s">
        <v>1829</v>
      </c>
      <c r="D104" t="s">
        <v>2568</v>
      </c>
      <c r="E104" t="s">
        <v>298</v>
      </c>
      <c r="G104" s="235" t="s">
        <v>1830</v>
      </c>
      <c r="H104" s="229" t="s">
        <v>1831</v>
      </c>
      <c r="I104" s="229">
        <v>20271165</v>
      </c>
      <c r="J104" s="229">
        <v>25640225</v>
      </c>
      <c r="K104" s="229" t="s">
        <v>1831</v>
      </c>
      <c r="L104" s="229" t="s">
        <v>17</v>
      </c>
    </row>
    <row r="105" spans="2:12">
      <c r="B105" s="229">
        <v>100</v>
      </c>
      <c r="C105" s="229" t="s">
        <v>86</v>
      </c>
      <c r="D105" t="s">
        <v>1987</v>
      </c>
      <c r="G105" s="235" t="s">
        <v>1987</v>
      </c>
      <c r="H105" s="229" t="s">
        <v>1988</v>
      </c>
      <c r="I105" s="229">
        <v>24182500</v>
      </c>
      <c r="J105" s="229">
        <v>30027485</v>
      </c>
      <c r="K105" s="229" t="s">
        <v>1988</v>
      </c>
      <c r="L105" s="229" t="s">
        <v>17</v>
      </c>
    </row>
    <row r="106" spans="2:12">
      <c r="B106" s="229">
        <v>101</v>
      </c>
      <c r="C106" s="229" t="s">
        <v>1945</v>
      </c>
      <c r="D106" t="s">
        <v>1946</v>
      </c>
      <c r="G106" s="235" t="s">
        <v>2410</v>
      </c>
      <c r="H106" s="229" t="s">
        <v>1947</v>
      </c>
      <c r="I106" s="229">
        <v>50937907</v>
      </c>
      <c r="J106" s="229">
        <v>75887242.180000007</v>
      </c>
      <c r="K106" s="229" t="s">
        <v>1947</v>
      </c>
      <c r="L106" s="229" t="s">
        <v>17</v>
      </c>
    </row>
    <row r="107" spans="2:12">
      <c r="B107" s="229">
        <v>102</v>
      </c>
      <c r="C107" s="229" t="s">
        <v>620</v>
      </c>
      <c r="D107" t="s">
        <v>2569</v>
      </c>
      <c r="E107" t="s">
        <v>2533</v>
      </c>
      <c r="G107" s="235" t="s">
        <v>1870</v>
      </c>
      <c r="H107" s="229" t="s">
        <v>1871</v>
      </c>
      <c r="I107" s="229">
        <v>32615589</v>
      </c>
      <c r="J107" s="229">
        <v>34907769.009999998</v>
      </c>
      <c r="K107" s="229" t="s">
        <v>1871</v>
      </c>
      <c r="L107" s="229" t="s">
        <v>17</v>
      </c>
    </row>
    <row r="108" spans="2:12">
      <c r="B108" s="229">
        <v>103</v>
      </c>
      <c r="C108" s="229" t="s">
        <v>1912</v>
      </c>
      <c r="D108" t="s">
        <v>2570</v>
      </c>
      <c r="G108" s="235" t="s">
        <v>1913</v>
      </c>
      <c r="H108" s="229" t="s">
        <v>1914</v>
      </c>
      <c r="I108" s="229">
        <v>19898000</v>
      </c>
      <c r="J108" s="229">
        <v>21676430</v>
      </c>
      <c r="K108" s="229" t="s">
        <v>1914</v>
      </c>
      <c r="L108" s="229" t="s">
        <v>17</v>
      </c>
    </row>
    <row r="109" spans="2:12">
      <c r="B109" s="229">
        <v>104</v>
      </c>
      <c r="C109" s="229" t="s">
        <v>1846</v>
      </c>
      <c r="D109" t="s">
        <v>2571</v>
      </c>
      <c r="E109" t="s">
        <v>2533</v>
      </c>
      <c r="G109" s="235" t="s">
        <v>1847</v>
      </c>
      <c r="H109" s="229" t="s">
        <v>1848</v>
      </c>
      <c r="I109" s="229">
        <v>99851018</v>
      </c>
      <c r="J109" s="229">
        <v>126392497</v>
      </c>
      <c r="K109" s="229" t="s">
        <v>1848</v>
      </c>
      <c r="L109" s="229" t="s">
        <v>17</v>
      </c>
    </row>
    <row r="110" spans="2:12">
      <c r="B110" s="229">
        <v>105</v>
      </c>
      <c r="C110" s="229" t="s">
        <v>1427</v>
      </c>
      <c r="D110" t="s">
        <v>1843</v>
      </c>
      <c r="G110" s="235" t="s">
        <v>1843</v>
      </c>
      <c r="H110" s="229" t="s">
        <v>1844</v>
      </c>
      <c r="I110" s="229">
        <v>7387760</v>
      </c>
      <c r="J110" s="229">
        <v>8677868</v>
      </c>
      <c r="K110" s="229" t="s">
        <v>1844</v>
      </c>
      <c r="L110" s="229" t="s">
        <v>17</v>
      </c>
    </row>
    <row r="111" spans="2:12">
      <c r="B111" s="229">
        <v>106</v>
      </c>
      <c r="C111" s="229" t="s">
        <v>2038</v>
      </c>
      <c r="D111" t="s">
        <v>2039</v>
      </c>
      <c r="E111" t="s">
        <v>298</v>
      </c>
      <c r="G111" s="235" t="s">
        <v>2039</v>
      </c>
      <c r="H111" s="229" t="s">
        <v>2040</v>
      </c>
      <c r="I111" s="229">
        <v>7875034</v>
      </c>
      <c r="J111" s="229">
        <v>4682109</v>
      </c>
      <c r="K111" s="229" t="s">
        <v>2040</v>
      </c>
      <c r="L111" s="229" t="s">
        <v>17</v>
      </c>
    </row>
    <row r="112" spans="2:12">
      <c r="B112" s="229">
        <v>107</v>
      </c>
      <c r="C112" s="229" t="s">
        <v>458</v>
      </c>
      <c r="D112" t="s">
        <v>1896</v>
      </c>
      <c r="E112" t="s">
        <v>2520</v>
      </c>
      <c r="G112" s="235" t="s">
        <v>1896</v>
      </c>
      <c r="H112" s="229" t="s">
        <v>1897</v>
      </c>
      <c r="I112" s="229">
        <v>28474693</v>
      </c>
      <c r="J112" s="229">
        <v>68249430.019999996</v>
      </c>
      <c r="K112" s="229" t="s">
        <v>1897</v>
      </c>
      <c r="L112" s="229" t="s">
        <v>17</v>
      </c>
    </row>
    <row r="113" spans="2:12">
      <c r="B113" s="229">
        <v>108</v>
      </c>
      <c r="C113" s="229" t="s">
        <v>377</v>
      </c>
      <c r="D113" t="s">
        <v>2572</v>
      </c>
      <c r="E113" t="s">
        <v>298</v>
      </c>
      <c r="G113" s="235" t="s">
        <v>1962</v>
      </c>
      <c r="H113" s="229" t="s">
        <v>379</v>
      </c>
      <c r="I113" s="229">
        <v>4869723</v>
      </c>
      <c r="J113" s="229">
        <v>6962737.4000000004</v>
      </c>
      <c r="K113" s="229" t="s">
        <v>379</v>
      </c>
      <c r="L113" s="229" t="s">
        <v>17</v>
      </c>
    </row>
    <row r="114" spans="2:12">
      <c r="B114" s="229">
        <v>109</v>
      </c>
      <c r="C114" s="229" t="s">
        <v>2046</v>
      </c>
      <c r="D114" t="s">
        <v>2642</v>
      </c>
      <c r="G114" s="235" t="s">
        <v>2047</v>
      </c>
      <c r="H114" s="229" t="s">
        <v>2048</v>
      </c>
      <c r="I114" s="229">
        <v>44032611</v>
      </c>
      <c r="J114" s="229">
        <v>51141941.829999998</v>
      </c>
      <c r="K114" s="229" t="s">
        <v>2049</v>
      </c>
      <c r="L114" s="229" t="s">
        <v>17</v>
      </c>
    </row>
    <row r="115" spans="2:12">
      <c r="B115" s="229">
        <v>110</v>
      </c>
      <c r="C115" s="229" t="s">
        <v>2064</v>
      </c>
      <c r="D115" t="s">
        <v>2643</v>
      </c>
      <c r="E115" t="s">
        <v>298</v>
      </c>
      <c r="G115" s="235" t="s">
        <v>2420</v>
      </c>
      <c r="H115" s="229" t="s">
        <v>2066</v>
      </c>
      <c r="I115" s="229">
        <v>15407747</v>
      </c>
      <c r="J115" s="229">
        <v>16439510.630000001</v>
      </c>
      <c r="K115" s="229" t="s">
        <v>2066</v>
      </c>
      <c r="L115" s="229" t="s">
        <v>17</v>
      </c>
    </row>
    <row r="116" spans="2:12">
      <c r="B116" s="229">
        <v>111</v>
      </c>
      <c r="C116" s="229" t="s">
        <v>1582</v>
      </c>
      <c r="D116" t="s">
        <v>2573</v>
      </c>
      <c r="G116" s="235" t="s">
        <v>1746</v>
      </c>
      <c r="H116" s="229" t="s">
        <v>1747</v>
      </c>
      <c r="I116" s="229">
        <v>1473381001</v>
      </c>
      <c r="J116" s="229">
        <v>1649997674</v>
      </c>
      <c r="K116" s="229" t="s">
        <v>1743</v>
      </c>
      <c r="L116" s="229" t="s">
        <v>17</v>
      </c>
    </row>
    <row r="117" spans="2:12">
      <c r="B117" s="229">
        <v>112</v>
      </c>
      <c r="C117" s="229" t="s">
        <v>2010</v>
      </c>
      <c r="D117" t="s">
        <v>2644</v>
      </c>
      <c r="G117" s="235" t="s">
        <v>2423</v>
      </c>
      <c r="H117" s="229" t="s">
        <v>1917</v>
      </c>
      <c r="I117" s="229">
        <v>149350500</v>
      </c>
      <c r="J117" s="229">
        <v>162309702</v>
      </c>
      <c r="K117" s="229" t="s">
        <v>1917</v>
      </c>
      <c r="L117" s="229" t="s">
        <v>17</v>
      </c>
    </row>
    <row r="118" spans="2:12">
      <c r="B118" s="229">
        <v>113</v>
      </c>
      <c r="C118" s="229" t="s">
        <v>1622</v>
      </c>
      <c r="D118" t="s">
        <v>1894</v>
      </c>
      <c r="G118" s="235" t="s">
        <v>1894</v>
      </c>
      <c r="H118" s="229" t="s">
        <v>1895</v>
      </c>
      <c r="I118" s="229">
        <v>189762114</v>
      </c>
      <c r="J118" s="229">
        <v>204328713.55000001</v>
      </c>
      <c r="K118" s="229" t="s">
        <v>1895</v>
      </c>
      <c r="L118" s="229" t="s">
        <v>17</v>
      </c>
    </row>
    <row r="119" spans="2:12">
      <c r="B119" s="229">
        <v>114</v>
      </c>
      <c r="C119" s="229" t="s">
        <v>126</v>
      </c>
      <c r="D119" t="s">
        <v>2062</v>
      </c>
      <c r="G119" s="235" t="s">
        <v>2062</v>
      </c>
      <c r="H119" s="229" t="s">
        <v>2063</v>
      </c>
      <c r="I119" s="229">
        <v>38318000</v>
      </c>
      <c r="J119" s="229">
        <v>19825280</v>
      </c>
      <c r="K119" s="229" t="s">
        <v>2063</v>
      </c>
      <c r="L119" s="229" t="s">
        <v>17</v>
      </c>
    </row>
    <row r="120" spans="2:12">
      <c r="B120" s="229">
        <v>115</v>
      </c>
      <c r="C120" s="229" t="s">
        <v>145</v>
      </c>
      <c r="D120" t="s">
        <v>2017</v>
      </c>
      <c r="G120" s="235" t="s">
        <v>2017</v>
      </c>
      <c r="H120" s="229" t="s">
        <v>2018</v>
      </c>
      <c r="I120" s="229">
        <v>99606588</v>
      </c>
      <c r="J120" s="229">
        <v>107490698.79000001</v>
      </c>
      <c r="K120" s="229" t="s">
        <v>2018</v>
      </c>
      <c r="L120" s="229" t="s">
        <v>17</v>
      </c>
    </row>
    <row r="121" spans="2:12">
      <c r="B121" s="229">
        <v>116</v>
      </c>
      <c r="C121" s="229" t="s">
        <v>144</v>
      </c>
      <c r="D121" t="s">
        <v>2019</v>
      </c>
      <c r="G121" s="235" t="s">
        <v>2019</v>
      </c>
      <c r="H121" s="229" t="s">
        <v>2020</v>
      </c>
      <c r="I121" s="229">
        <v>137600000</v>
      </c>
      <c r="J121" s="229">
        <v>142575081</v>
      </c>
      <c r="K121" s="229" t="s">
        <v>2020</v>
      </c>
      <c r="L121" s="229" t="s">
        <v>17</v>
      </c>
    </row>
    <row r="122" spans="2:12">
      <c r="B122" s="229">
        <v>117</v>
      </c>
      <c r="C122" s="229" t="s">
        <v>2031</v>
      </c>
      <c r="D122" t="s">
        <v>2574</v>
      </c>
      <c r="E122" t="s">
        <v>298</v>
      </c>
      <c r="G122" s="235" t="s">
        <v>2036</v>
      </c>
      <c r="H122" s="229" t="s">
        <v>2037</v>
      </c>
      <c r="I122" s="229">
        <v>16314795</v>
      </c>
      <c r="J122" s="229">
        <v>17674675.18</v>
      </c>
      <c r="K122" s="229" t="s">
        <v>2037</v>
      </c>
      <c r="L122" s="229" t="s">
        <v>17</v>
      </c>
    </row>
    <row r="123" spans="2:12">
      <c r="B123" s="229">
        <v>118</v>
      </c>
      <c r="C123" s="229" t="s">
        <v>639</v>
      </c>
      <c r="D123" t="s">
        <v>2430</v>
      </c>
      <c r="E123" t="s">
        <v>2533</v>
      </c>
      <c r="G123" s="235" t="s">
        <v>2430</v>
      </c>
      <c r="H123" s="229" t="s">
        <v>1816</v>
      </c>
      <c r="I123" s="229">
        <v>56243510</v>
      </c>
      <c r="J123" s="229">
        <v>66544739.649999999</v>
      </c>
      <c r="K123" s="229" t="s">
        <v>1816</v>
      </c>
      <c r="L123" s="229" t="s">
        <v>17</v>
      </c>
    </row>
    <row r="124" spans="2:12">
      <c r="B124" s="229">
        <v>119</v>
      </c>
      <c r="C124" s="229" t="s">
        <v>1907</v>
      </c>
      <c r="D124" t="s">
        <v>2645</v>
      </c>
      <c r="G124" s="235" t="s">
        <v>1908</v>
      </c>
      <c r="H124" s="229" t="s">
        <v>1909</v>
      </c>
      <c r="I124" s="229">
        <v>31306000</v>
      </c>
      <c r="J124" s="229">
        <v>28649012</v>
      </c>
      <c r="K124" s="229" t="s">
        <v>1909</v>
      </c>
      <c r="L124" s="229" t="s">
        <v>17</v>
      </c>
    </row>
    <row r="125" spans="2:12">
      <c r="B125" s="229">
        <v>120</v>
      </c>
      <c r="C125" s="229" t="s">
        <v>2031</v>
      </c>
      <c r="D125" t="s">
        <v>2575</v>
      </c>
      <c r="E125" t="s">
        <v>2533</v>
      </c>
      <c r="G125" s="235" t="s">
        <v>2433</v>
      </c>
      <c r="H125" s="229" t="s">
        <v>2035</v>
      </c>
      <c r="I125" s="229">
        <v>8738030</v>
      </c>
      <c r="J125" s="229">
        <v>5655151</v>
      </c>
      <c r="K125" s="229" t="s">
        <v>2035</v>
      </c>
      <c r="L125" s="229" t="s">
        <v>17</v>
      </c>
    </row>
    <row r="126" spans="2:12">
      <c r="B126" s="229">
        <v>121</v>
      </c>
      <c r="C126" s="229" t="s">
        <v>659</v>
      </c>
      <c r="D126" t="s">
        <v>1813</v>
      </c>
      <c r="E126" t="s">
        <v>2533</v>
      </c>
      <c r="G126" s="235" t="s">
        <v>1813</v>
      </c>
      <c r="H126" s="229" t="s">
        <v>1814</v>
      </c>
      <c r="I126" s="229">
        <v>14814210</v>
      </c>
      <c r="J126" s="229">
        <v>15276770.49</v>
      </c>
      <c r="K126" s="229" t="s">
        <v>1814</v>
      </c>
      <c r="L126" s="229" t="s">
        <v>17</v>
      </c>
    </row>
    <row r="127" spans="2:12">
      <c r="B127" s="229">
        <v>122</v>
      </c>
      <c r="C127" s="229" t="s">
        <v>634</v>
      </c>
      <c r="D127" t="s">
        <v>298</v>
      </c>
      <c r="E127" t="s">
        <v>2646</v>
      </c>
      <c r="G127" s="235" t="s">
        <v>1905</v>
      </c>
      <c r="H127" s="229" t="s">
        <v>1814</v>
      </c>
      <c r="I127" s="229">
        <v>59322070</v>
      </c>
      <c r="J127" s="229">
        <v>63122249.640000001</v>
      </c>
      <c r="K127" s="229" t="s">
        <v>1814</v>
      </c>
      <c r="L127" s="229" t="s">
        <v>17</v>
      </c>
    </row>
    <row r="128" spans="2:12">
      <c r="B128" s="229">
        <v>123</v>
      </c>
      <c r="C128" s="229" t="s">
        <v>666</v>
      </c>
      <c r="D128" t="s">
        <v>2576</v>
      </c>
      <c r="E128" t="s">
        <v>298</v>
      </c>
      <c r="G128" s="235" t="s">
        <v>2437</v>
      </c>
      <c r="H128" s="229" t="s">
        <v>1904</v>
      </c>
      <c r="I128" s="229">
        <v>53250468</v>
      </c>
      <c r="J128" s="229">
        <v>47429773.450000003</v>
      </c>
      <c r="K128" s="229" t="s">
        <v>1904</v>
      </c>
      <c r="L128" s="229" t="s">
        <v>17</v>
      </c>
    </row>
    <row r="129" spans="2:12">
      <c r="B129" s="229">
        <v>124</v>
      </c>
      <c r="C129" s="229" t="s">
        <v>2004</v>
      </c>
      <c r="D129" t="s">
        <v>2439</v>
      </c>
      <c r="G129" s="235" t="s">
        <v>2439</v>
      </c>
      <c r="H129" s="229" t="s">
        <v>2008</v>
      </c>
      <c r="I129" s="229">
        <v>169528366</v>
      </c>
      <c r="J129" s="229">
        <v>148027765.22999999</v>
      </c>
      <c r="K129" s="229" t="s">
        <v>2009</v>
      </c>
      <c r="L129" s="229" t="s">
        <v>17</v>
      </c>
    </row>
    <row r="130" spans="2:12">
      <c r="B130" s="229">
        <v>125</v>
      </c>
      <c r="C130" s="229" t="s">
        <v>682</v>
      </c>
      <c r="D130" t="s">
        <v>2577</v>
      </c>
      <c r="E130" t="s">
        <v>298</v>
      </c>
      <c r="G130" s="235" t="s">
        <v>2441</v>
      </c>
      <c r="H130" s="229" t="s">
        <v>2442</v>
      </c>
      <c r="I130" s="229">
        <v>4266662</v>
      </c>
      <c r="J130" s="229">
        <v>0</v>
      </c>
      <c r="K130" s="229" t="s">
        <v>2442</v>
      </c>
      <c r="L130" s="229" t="s">
        <v>17</v>
      </c>
    </row>
    <row r="131" spans="2:12">
      <c r="B131" s="229">
        <v>126</v>
      </c>
      <c r="C131" s="229" t="s">
        <v>2004</v>
      </c>
      <c r="D131" t="s">
        <v>2578</v>
      </c>
      <c r="E131" t="s">
        <v>2579</v>
      </c>
      <c r="G131" s="235" t="s">
        <v>2444</v>
      </c>
      <c r="H131" s="229" t="s">
        <v>2006</v>
      </c>
      <c r="I131" s="229">
        <v>31989319</v>
      </c>
      <c r="J131" s="229">
        <v>32117319</v>
      </c>
      <c r="K131" s="229" t="s">
        <v>2006</v>
      </c>
      <c r="L131" s="229" t="s">
        <v>17</v>
      </c>
    </row>
    <row r="132" spans="2:12">
      <c r="B132" s="229">
        <v>127</v>
      </c>
      <c r="C132" s="229" t="s">
        <v>695</v>
      </c>
      <c r="D132" t="s">
        <v>2580</v>
      </c>
      <c r="E132" t="s">
        <v>2579</v>
      </c>
      <c r="G132" s="235" t="s">
        <v>2446</v>
      </c>
      <c r="H132" s="229" t="s">
        <v>2042</v>
      </c>
      <c r="I132" s="229">
        <v>47776036</v>
      </c>
      <c r="J132" s="229">
        <v>47979085.799999997</v>
      </c>
      <c r="K132" s="229" t="s">
        <v>2042</v>
      </c>
      <c r="L132" s="229" t="s">
        <v>17</v>
      </c>
    </row>
    <row r="133" spans="2:12">
      <c r="B133" s="229">
        <v>128</v>
      </c>
      <c r="C133" s="229" t="s">
        <v>2031</v>
      </c>
      <c r="D133" t="s">
        <v>2581</v>
      </c>
      <c r="E133" t="s">
        <v>2582</v>
      </c>
      <c r="G133" s="235" t="s">
        <v>2448</v>
      </c>
      <c r="H133" s="229" t="s">
        <v>2033</v>
      </c>
      <c r="I133" s="229">
        <v>10653580</v>
      </c>
      <c r="J133" s="229">
        <v>10725580</v>
      </c>
      <c r="K133" s="229" t="s">
        <v>2033</v>
      </c>
      <c r="L133" s="229" t="s">
        <v>17</v>
      </c>
    </row>
    <row r="134" spans="2:12">
      <c r="B134" s="229">
        <v>129</v>
      </c>
      <c r="C134" s="229" t="s">
        <v>2583</v>
      </c>
      <c r="D134" t="s">
        <v>2582</v>
      </c>
      <c r="G134" s="235" t="s">
        <v>2450</v>
      </c>
      <c r="H134" s="229" t="s">
        <v>1867</v>
      </c>
      <c r="I134" s="229">
        <v>9048787</v>
      </c>
      <c r="J134" s="229">
        <v>9173287.0999999996</v>
      </c>
      <c r="K134" s="229" t="s">
        <v>1867</v>
      </c>
      <c r="L134" s="229" t="s">
        <v>17</v>
      </c>
    </row>
    <row r="135" spans="2:12">
      <c r="B135" s="229">
        <v>130</v>
      </c>
      <c r="C135" s="229" t="s">
        <v>2584</v>
      </c>
      <c r="D135" t="s">
        <v>2452</v>
      </c>
      <c r="G135" s="235" t="s">
        <v>2452</v>
      </c>
      <c r="H135" s="229" t="s">
        <v>1716</v>
      </c>
      <c r="I135" s="229">
        <v>722340951</v>
      </c>
      <c r="J135" s="229">
        <v>727789951.26999998</v>
      </c>
      <c r="K135" s="229" t="s">
        <v>1716</v>
      </c>
      <c r="L135" s="229" t="s">
        <v>17</v>
      </c>
    </row>
    <row r="136" spans="2:12">
      <c r="B136" s="229">
        <v>131</v>
      </c>
      <c r="C136" s="229" t="s">
        <v>2453</v>
      </c>
      <c r="G136" s="235" t="s">
        <v>2454</v>
      </c>
      <c r="H136" s="229" t="s">
        <v>2061</v>
      </c>
      <c r="I136" s="229">
        <v>804625103</v>
      </c>
      <c r="J136" s="229">
        <v>812269102.94000006</v>
      </c>
      <c r="K136" s="229" t="s">
        <v>2061</v>
      </c>
      <c r="L136" s="229" t="s">
        <v>17</v>
      </c>
    </row>
    <row r="137" spans="2:12">
      <c r="B137" s="229">
        <v>132</v>
      </c>
      <c r="C137" s="229" t="s">
        <v>1930</v>
      </c>
      <c r="D137" t="s">
        <v>2456</v>
      </c>
      <c r="G137" s="235" t="s">
        <v>2456</v>
      </c>
      <c r="H137" s="229" t="s">
        <v>1932</v>
      </c>
      <c r="I137" s="229">
        <v>143837664</v>
      </c>
      <c r="J137" s="229">
        <v>146030214.56</v>
      </c>
      <c r="K137" s="229" t="s">
        <v>1932</v>
      </c>
      <c r="L137" s="229" t="s">
        <v>17</v>
      </c>
    </row>
    <row r="138" spans="2:12">
      <c r="B138" s="229">
        <v>133</v>
      </c>
      <c r="C138" s="229" t="s">
        <v>2585</v>
      </c>
      <c r="D138" t="s">
        <v>1712</v>
      </c>
      <c r="G138" s="235" t="s">
        <v>1712</v>
      </c>
      <c r="H138" s="229" t="s">
        <v>1714</v>
      </c>
      <c r="I138" s="229">
        <v>57716286</v>
      </c>
      <c r="J138" s="229">
        <v>57716286</v>
      </c>
      <c r="K138" s="229" t="s">
        <v>1714</v>
      </c>
      <c r="L138" s="229" t="s">
        <v>17</v>
      </c>
    </row>
    <row r="139" spans="2:12">
      <c r="B139" s="229">
        <v>134</v>
      </c>
      <c r="C139" s="229" t="s">
        <v>1711</v>
      </c>
      <c r="D139" t="s">
        <v>1715</v>
      </c>
      <c r="E139" t="s">
        <v>298</v>
      </c>
      <c r="G139" s="235" t="s">
        <v>2459</v>
      </c>
      <c r="H139" s="229" t="s">
        <v>1716</v>
      </c>
      <c r="I139" s="229">
        <v>217374216</v>
      </c>
      <c r="J139" s="229">
        <v>217374216</v>
      </c>
      <c r="K139" s="229" t="s">
        <v>1716</v>
      </c>
      <c r="L139" s="229" t="s">
        <v>17</v>
      </c>
    </row>
    <row r="140" spans="2:12">
      <c r="B140" s="229">
        <v>135</v>
      </c>
      <c r="C140" s="229" t="s">
        <v>1797</v>
      </c>
      <c r="D140" t="s">
        <v>2461</v>
      </c>
      <c r="G140" s="235" t="s">
        <v>2461</v>
      </c>
      <c r="H140" s="229" t="s">
        <v>1799</v>
      </c>
      <c r="I140" s="229">
        <v>19439412</v>
      </c>
      <c r="J140" s="229">
        <v>12601438.439999999</v>
      </c>
      <c r="K140" s="229" t="s">
        <v>1800</v>
      </c>
      <c r="L140" s="229" t="s">
        <v>17</v>
      </c>
    </row>
    <row r="141" spans="2:12">
      <c r="B141" s="229">
        <v>136</v>
      </c>
      <c r="C141" s="229" t="s">
        <v>1860</v>
      </c>
      <c r="D141" t="s">
        <v>1861</v>
      </c>
      <c r="E141" t="s">
        <v>2520</v>
      </c>
      <c r="G141" s="235" t="s">
        <v>2463</v>
      </c>
      <c r="H141" s="229" t="s">
        <v>1856</v>
      </c>
      <c r="I141" s="229">
        <v>89169815</v>
      </c>
      <c r="J141" s="229">
        <v>237861390.13999999</v>
      </c>
      <c r="K141" s="229" t="s">
        <v>1856</v>
      </c>
      <c r="L141" s="229" t="s">
        <v>17</v>
      </c>
    </row>
    <row r="142" spans="2:12">
      <c r="B142" s="229">
        <v>137</v>
      </c>
      <c r="C142" s="229" t="s">
        <v>1705</v>
      </c>
      <c r="D142" t="s">
        <v>1706</v>
      </c>
      <c r="E142" t="s">
        <v>298</v>
      </c>
      <c r="G142" s="235" t="s">
        <v>2465</v>
      </c>
      <c r="H142" s="229" t="s">
        <v>1707</v>
      </c>
      <c r="I142" s="229">
        <v>662398084</v>
      </c>
      <c r="J142" s="229">
        <v>783841225.51999998</v>
      </c>
      <c r="K142" s="229" t="s">
        <v>1707</v>
      </c>
      <c r="L142" s="229" t="s">
        <v>17</v>
      </c>
    </row>
    <row r="143" spans="2:12">
      <c r="B143" s="229">
        <v>138</v>
      </c>
      <c r="C143" s="229" t="s">
        <v>160</v>
      </c>
      <c r="D143" t="s">
        <v>2586</v>
      </c>
      <c r="G143" s="235" t="s">
        <v>1862</v>
      </c>
      <c r="H143" s="229" t="s">
        <v>1863</v>
      </c>
      <c r="I143" s="229">
        <v>37978047</v>
      </c>
      <c r="J143" s="229">
        <v>33648852.539999999</v>
      </c>
      <c r="K143" s="229" t="s">
        <v>1864</v>
      </c>
      <c r="L143" s="229" t="s">
        <v>17</v>
      </c>
    </row>
    <row r="144" spans="2:12">
      <c r="B144" s="229">
        <v>139</v>
      </c>
      <c r="C144" s="229" t="s">
        <v>159</v>
      </c>
      <c r="D144" t="s">
        <v>1852</v>
      </c>
      <c r="G144" s="235" t="s">
        <v>1852</v>
      </c>
      <c r="H144" s="229" t="s">
        <v>1853</v>
      </c>
      <c r="I144" s="229">
        <v>37978047</v>
      </c>
      <c r="J144" s="229">
        <v>37896666.68</v>
      </c>
      <c r="K144" s="229" t="s">
        <v>1853</v>
      </c>
      <c r="L144" s="229" t="s">
        <v>17</v>
      </c>
    </row>
    <row r="145" spans="2:12">
      <c r="B145" s="229">
        <v>140</v>
      </c>
      <c r="C145" s="229" t="s">
        <v>2468</v>
      </c>
      <c r="G145" s="235"/>
      <c r="H145" s="229" t="s">
        <v>1876</v>
      </c>
      <c r="I145" s="229">
        <v>28876959</v>
      </c>
      <c r="J145" s="229">
        <v>28974278.699999999</v>
      </c>
      <c r="K145" s="229" t="s">
        <v>1876</v>
      </c>
      <c r="L145" s="229" t="s">
        <v>17</v>
      </c>
    </row>
    <row r="146" spans="2:12">
      <c r="B146" s="229">
        <v>141</v>
      </c>
      <c r="C146" s="229" t="s">
        <v>2587</v>
      </c>
      <c r="D146" t="s">
        <v>2588</v>
      </c>
      <c r="G146" s="235"/>
      <c r="H146" s="229" t="s">
        <v>1856</v>
      </c>
      <c r="I146" s="229">
        <v>429177557</v>
      </c>
      <c r="J146" s="229">
        <v>470982792.27999997</v>
      </c>
      <c r="K146" s="229" t="s">
        <v>1856</v>
      </c>
      <c r="L146" s="229" t="s">
        <v>17</v>
      </c>
    </row>
    <row r="147" spans="2:12">
      <c r="B147" s="229">
        <v>142</v>
      </c>
      <c r="C147" s="229" t="s">
        <v>2589</v>
      </c>
      <c r="D147" t="s">
        <v>2590</v>
      </c>
      <c r="G147" s="235"/>
      <c r="H147" s="229" t="s">
        <v>1710</v>
      </c>
      <c r="I147" s="229">
        <v>204894484</v>
      </c>
      <c r="J147" s="229">
        <v>204894483.75</v>
      </c>
      <c r="K147" s="229" t="s">
        <v>1710</v>
      </c>
      <c r="L147" s="229" t="s">
        <v>17</v>
      </c>
    </row>
    <row r="148" spans="2:12">
      <c r="B148" s="229">
        <v>143</v>
      </c>
      <c r="C148" s="229" t="s">
        <v>2591</v>
      </c>
      <c r="D148" t="s">
        <v>2592</v>
      </c>
      <c r="G148" s="235"/>
      <c r="H148" s="229" t="s">
        <v>1938</v>
      </c>
      <c r="I148" s="229">
        <v>2820974</v>
      </c>
      <c r="J148" s="229">
        <v>3151574.39</v>
      </c>
      <c r="K148" s="229" t="s">
        <v>1939</v>
      </c>
      <c r="L148" s="229" t="s">
        <v>497</v>
      </c>
    </row>
    <row r="149" spans="2:12">
      <c r="B149" s="229">
        <v>144</v>
      </c>
      <c r="C149" s="229" t="s">
        <v>1547</v>
      </c>
      <c r="D149" t="s">
        <v>2593</v>
      </c>
      <c r="E149" t="s">
        <v>166</v>
      </c>
      <c r="G149" s="235"/>
      <c r="H149" s="229" t="s">
        <v>1889</v>
      </c>
      <c r="I149" s="229">
        <v>201543637</v>
      </c>
      <c r="J149" s="229">
        <v>218994108</v>
      </c>
      <c r="K149" s="229" t="s">
        <v>1889</v>
      </c>
      <c r="L149" s="229" t="s">
        <v>17</v>
      </c>
    </row>
    <row r="150" spans="2:12">
      <c r="B150" s="229">
        <v>145</v>
      </c>
      <c r="C150" s="229" t="s">
        <v>2594</v>
      </c>
      <c r="D150" t="s">
        <v>2595</v>
      </c>
      <c r="E150" t="s">
        <v>1887</v>
      </c>
      <c r="G150" s="235"/>
      <c r="H150" s="229" t="s">
        <v>1889</v>
      </c>
      <c r="I150" s="229">
        <v>122597776</v>
      </c>
      <c r="J150" s="229">
        <v>115014464.63</v>
      </c>
      <c r="K150" s="229" t="s">
        <v>1889</v>
      </c>
      <c r="L150" s="229" t="s">
        <v>17</v>
      </c>
    </row>
    <row r="151" spans="2:12">
      <c r="B151" s="229">
        <v>146</v>
      </c>
      <c r="C151" s="229" t="s">
        <v>727</v>
      </c>
      <c r="D151" t="s">
        <v>2647</v>
      </c>
      <c r="E151" t="s">
        <v>2579</v>
      </c>
      <c r="G151" s="235"/>
      <c r="H151" s="229" t="s">
        <v>1713</v>
      </c>
      <c r="I151" s="229">
        <v>108780025</v>
      </c>
      <c r="J151" s="229">
        <v>115729664.90000001</v>
      </c>
      <c r="K151" s="229" t="s">
        <v>1713</v>
      </c>
      <c r="L151" s="229" t="s">
        <v>73</v>
      </c>
    </row>
    <row r="152" spans="2:12">
      <c r="B152" s="229">
        <v>147</v>
      </c>
      <c r="C152" s="229" t="s">
        <v>2021</v>
      </c>
      <c r="D152" t="s">
        <v>2596</v>
      </c>
      <c r="G152" s="235"/>
      <c r="H152" s="229" t="s">
        <v>2023</v>
      </c>
      <c r="I152" s="229">
        <v>1135427087</v>
      </c>
      <c r="J152" s="229">
        <v>1152994086.6700001</v>
      </c>
      <c r="K152" s="229" t="s">
        <v>2024</v>
      </c>
      <c r="L152" s="229" t="s">
        <v>17</v>
      </c>
    </row>
    <row r="153" spans="2:12">
      <c r="B153" s="229">
        <v>148</v>
      </c>
      <c r="C153" s="229" t="s">
        <v>1933</v>
      </c>
      <c r="D153" t="s">
        <v>2597</v>
      </c>
      <c r="E153" t="s">
        <v>1121</v>
      </c>
      <c r="G153" s="235"/>
      <c r="H153" s="229" t="s">
        <v>1935</v>
      </c>
      <c r="I153" s="229">
        <v>12693101</v>
      </c>
      <c r="J153" s="229">
        <v>12888701</v>
      </c>
      <c r="K153" s="229" t="s">
        <v>1935</v>
      </c>
      <c r="L153" s="229" t="s">
        <v>73</v>
      </c>
    </row>
    <row r="154" spans="2:12">
      <c r="B154" s="229">
        <v>149</v>
      </c>
      <c r="C154" s="229" t="s">
        <v>1734</v>
      </c>
      <c r="D154" t="s">
        <v>2598</v>
      </c>
      <c r="G154" s="235" t="s">
        <v>2478</v>
      </c>
      <c r="H154" s="229" t="s">
        <v>1739</v>
      </c>
      <c r="I154" s="229">
        <v>9423329760</v>
      </c>
      <c r="J154" s="229">
        <v>10609052803</v>
      </c>
      <c r="K154" s="229" t="s">
        <v>1739</v>
      </c>
      <c r="L154" s="229" t="s">
        <v>1740</v>
      </c>
    </row>
    <row r="155" spans="2:12">
      <c r="B155" s="229">
        <v>150</v>
      </c>
      <c r="C155" s="229" t="s">
        <v>1759</v>
      </c>
      <c r="D155" t="s">
        <v>2648</v>
      </c>
      <c r="G155" s="235" t="s">
        <v>2480</v>
      </c>
      <c r="H155" s="229" t="s">
        <v>1761</v>
      </c>
      <c r="I155" s="229">
        <v>4573387786</v>
      </c>
      <c r="J155" s="229">
        <v>5354229510</v>
      </c>
      <c r="K155" s="229" t="s">
        <v>1761</v>
      </c>
      <c r="L155" s="229" t="s">
        <v>17</v>
      </c>
    </row>
    <row r="156" spans="2:12">
      <c r="B156" s="229">
        <v>151</v>
      </c>
      <c r="C156" s="229" t="s">
        <v>1789</v>
      </c>
      <c r="D156" t="s">
        <v>2599</v>
      </c>
      <c r="E156" t="s">
        <v>605</v>
      </c>
      <c r="G156" s="235"/>
      <c r="H156" s="229" t="s">
        <v>1791</v>
      </c>
      <c r="I156" s="229">
        <v>3900000</v>
      </c>
      <c r="J156" s="229">
        <v>4323176.2</v>
      </c>
      <c r="K156" s="229" t="s">
        <v>1791</v>
      </c>
      <c r="L156" s="229" t="s">
        <v>17</v>
      </c>
    </row>
    <row r="157" spans="2:12">
      <c r="B157" s="229">
        <v>152</v>
      </c>
      <c r="C157" s="229" t="s">
        <v>1783</v>
      </c>
      <c r="D157" t="s">
        <v>2600</v>
      </c>
      <c r="E157" t="s">
        <v>2601</v>
      </c>
      <c r="G157" s="235"/>
      <c r="H157" s="229" t="s">
        <v>1785</v>
      </c>
      <c r="I157" s="229">
        <v>102481336</v>
      </c>
      <c r="J157" s="229">
        <v>109123226</v>
      </c>
      <c r="K157" s="229" t="s">
        <v>1785</v>
      </c>
      <c r="L157" s="229" t="s">
        <v>73</v>
      </c>
    </row>
    <row r="158" spans="2:12">
      <c r="B158" s="229">
        <v>153</v>
      </c>
      <c r="C158" s="229" t="s">
        <v>614</v>
      </c>
      <c r="D158" t="s">
        <v>2602</v>
      </c>
      <c r="E158" t="s">
        <v>2603</v>
      </c>
      <c r="G158" s="235"/>
      <c r="H158" s="229" t="s">
        <v>1788</v>
      </c>
      <c r="I158" s="229">
        <v>20230814</v>
      </c>
      <c r="J158" s="229">
        <v>66795646</v>
      </c>
      <c r="K158" s="229" t="s">
        <v>1788</v>
      </c>
      <c r="L158" s="229" t="s">
        <v>17</v>
      </c>
    </row>
    <row r="159" spans="2:12">
      <c r="B159" s="229">
        <v>154</v>
      </c>
      <c r="C159" s="229" t="s">
        <v>493</v>
      </c>
      <c r="D159" t="s">
        <v>2604</v>
      </c>
      <c r="E159" t="s">
        <v>298</v>
      </c>
      <c r="G159" s="235"/>
      <c r="H159" s="229" t="s">
        <v>1781</v>
      </c>
      <c r="I159" s="229">
        <v>47106580</v>
      </c>
      <c r="J159" s="229">
        <v>47106579.600000001</v>
      </c>
      <c r="K159" s="229" t="s">
        <v>1782</v>
      </c>
      <c r="L159" s="229" t="s">
        <v>48</v>
      </c>
    </row>
    <row r="160" spans="2:12">
      <c r="B160" s="229">
        <v>155</v>
      </c>
      <c r="C160" s="229" t="s">
        <v>1783</v>
      </c>
      <c r="D160" t="s">
        <v>2605</v>
      </c>
      <c r="E160" t="s">
        <v>2606</v>
      </c>
      <c r="G160" s="235"/>
      <c r="H160" s="229" t="s">
        <v>1781</v>
      </c>
      <c r="I160" s="229">
        <v>39700000</v>
      </c>
      <c r="J160" s="229">
        <v>39620000</v>
      </c>
      <c r="K160" s="229" t="s">
        <v>1781</v>
      </c>
      <c r="L160" s="229" t="s">
        <v>48</v>
      </c>
    </row>
    <row r="161" spans="2:12">
      <c r="B161" s="229">
        <v>156</v>
      </c>
      <c r="C161" s="229" t="s">
        <v>1734</v>
      </c>
      <c r="G161" s="235"/>
      <c r="H161" s="229" t="s">
        <v>1735</v>
      </c>
      <c r="I161" s="229">
        <v>216419265</v>
      </c>
      <c r="J161" s="229">
        <v>218252086</v>
      </c>
      <c r="K161" s="229" t="s">
        <v>1735</v>
      </c>
      <c r="L161" s="229" t="s">
        <v>48</v>
      </c>
    </row>
    <row r="162" spans="2:12">
      <c r="B162" s="229">
        <v>157</v>
      </c>
      <c r="C162" s="229" t="s">
        <v>1999</v>
      </c>
      <c r="D162" t="s">
        <v>2607</v>
      </c>
      <c r="G162" s="235"/>
      <c r="H162" s="229" t="s">
        <v>2000</v>
      </c>
      <c r="I162" s="229">
        <v>161081929</v>
      </c>
      <c r="J162" s="229">
        <v>183466147.97999999</v>
      </c>
      <c r="K162" s="229" t="s">
        <v>2000</v>
      </c>
      <c r="L162" s="229" t="s">
        <v>17</v>
      </c>
    </row>
    <row r="163" spans="2:12">
      <c r="B163" s="229">
        <v>158</v>
      </c>
      <c r="C163" s="229" t="s">
        <v>1804</v>
      </c>
      <c r="G163" s="235" t="s">
        <v>1805</v>
      </c>
      <c r="H163" s="229" t="s">
        <v>1806</v>
      </c>
      <c r="I163" s="229">
        <v>2139450409</v>
      </c>
      <c r="J163" s="229">
        <v>1073370409</v>
      </c>
      <c r="K163" s="229" t="s">
        <v>1806</v>
      </c>
      <c r="L163" s="229" t="s">
        <v>48</v>
      </c>
    </row>
    <row r="164" spans="2:12">
      <c r="B164" s="229">
        <v>159</v>
      </c>
      <c r="C164" s="229" t="s">
        <v>1857</v>
      </c>
      <c r="D164" t="s">
        <v>2649</v>
      </c>
      <c r="G164" s="235"/>
      <c r="H164" s="229" t="s">
        <v>1859</v>
      </c>
      <c r="I164" s="229">
        <v>287452049</v>
      </c>
      <c r="J164" s="229">
        <v>290517500.88999999</v>
      </c>
      <c r="K164" s="229" t="s">
        <v>1859</v>
      </c>
      <c r="L164" s="229" t="s">
        <v>48</v>
      </c>
    </row>
    <row r="165" spans="2:12">
      <c r="B165" s="229">
        <v>160</v>
      </c>
      <c r="C165" s="229" t="s">
        <v>1918</v>
      </c>
      <c r="D165" t="s">
        <v>2608</v>
      </c>
      <c r="G165" s="235"/>
      <c r="H165" s="229" t="s">
        <v>1920</v>
      </c>
      <c r="I165" s="229">
        <v>12919512</v>
      </c>
      <c r="J165" s="229">
        <v>12939512</v>
      </c>
      <c r="K165" s="229" t="s">
        <v>1921</v>
      </c>
      <c r="L165" s="229" t="s">
        <v>48</v>
      </c>
    </row>
    <row r="166" spans="2:12">
      <c r="B166" s="229">
        <v>161</v>
      </c>
      <c r="C166" s="229" t="s">
        <v>2650</v>
      </c>
      <c r="D166" t="s">
        <v>2651</v>
      </c>
      <c r="G166" s="235"/>
      <c r="H166" s="229" t="s">
        <v>1941</v>
      </c>
      <c r="I166" s="229">
        <v>36853084</v>
      </c>
      <c r="J166" s="229">
        <v>36853084</v>
      </c>
      <c r="K166" s="229" t="s">
        <v>1942</v>
      </c>
      <c r="L166" s="229" t="s">
        <v>48</v>
      </c>
    </row>
    <row r="167" spans="2:12">
      <c r="B167" s="229">
        <v>162</v>
      </c>
      <c r="C167" s="229" t="s">
        <v>1872</v>
      </c>
      <c r="D167" t="s">
        <v>2652</v>
      </c>
      <c r="G167" s="235"/>
      <c r="H167" s="229" t="s">
        <v>1874</v>
      </c>
      <c r="I167" s="229">
        <v>91965118</v>
      </c>
      <c r="J167" s="229">
        <v>92498617.549999997</v>
      </c>
      <c r="K167" s="229" t="s">
        <v>1874</v>
      </c>
      <c r="L167" s="229" t="s">
        <v>48</v>
      </c>
    </row>
    <row r="168" spans="2:12">
      <c r="B168" s="229">
        <v>163</v>
      </c>
      <c r="C168" s="229" t="s">
        <v>1734</v>
      </c>
      <c r="D168" t="s">
        <v>2653</v>
      </c>
      <c r="G168" s="235"/>
      <c r="H168" s="229" t="s">
        <v>1737</v>
      </c>
      <c r="I168" s="229">
        <v>834135214</v>
      </c>
      <c r="J168" s="229">
        <v>834135214</v>
      </c>
      <c r="K168" s="229" t="s">
        <v>1737</v>
      </c>
      <c r="L168" s="229" t="s">
        <v>48</v>
      </c>
    </row>
    <row r="169" spans="2:12">
      <c r="B169" s="229">
        <v>164</v>
      </c>
      <c r="C169" s="229" t="s">
        <v>1547</v>
      </c>
      <c r="D169" t="s">
        <v>2609</v>
      </c>
      <c r="E169" t="s">
        <v>2610</v>
      </c>
      <c r="G169" s="235"/>
      <c r="H169" s="229" t="s">
        <v>1892</v>
      </c>
      <c r="I169" s="229">
        <v>76216086</v>
      </c>
      <c r="J169" s="229">
        <v>76236086.180000007</v>
      </c>
      <c r="K169" s="229" t="s">
        <v>1892</v>
      </c>
      <c r="L169" s="229" t="s">
        <v>73</v>
      </c>
    </row>
    <row r="170" spans="2:12">
      <c r="B170" s="229"/>
      <c r="C170" s="229"/>
    </row>
    <row r="171" spans="2:12">
      <c r="B171" s="229"/>
      <c r="C171" s="22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3:E230"/>
  <sheetViews>
    <sheetView workbookViewId="0">
      <selection activeCell="E3" sqref="E3:E230"/>
    </sheetView>
  </sheetViews>
  <sheetFormatPr defaultRowHeight="15"/>
  <cols>
    <col min="2" max="3" width="52.28515625" bestFit="1" customWidth="1"/>
    <col min="5" max="5" width="52.28515625" bestFit="1" customWidth="1"/>
  </cols>
  <sheetData>
    <row r="3" spans="2:5">
      <c r="B3" s="234" t="s">
        <v>1717</v>
      </c>
      <c r="C3" t="str">
        <f>UPPER(TRIM(B3))</f>
        <v>APPARELS &amp; APPL.LTD</v>
      </c>
      <c r="E3" t="s">
        <v>2674</v>
      </c>
    </row>
    <row r="4" spans="2:5">
      <c r="B4" s="229" t="s">
        <v>1717</v>
      </c>
      <c r="C4" t="str">
        <f t="shared" ref="C4:C67" si="0">UPPER(TRIM(B4))</f>
        <v>APPARELS &amp; APPL.LTD</v>
      </c>
      <c r="E4" t="s">
        <v>2674</v>
      </c>
    </row>
    <row r="5" spans="2:5">
      <c r="B5" s="229" t="s">
        <v>1729</v>
      </c>
      <c r="C5" t="str">
        <f t="shared" si="0"/>
        <v>AUGUST APPL.LTD</v>
      </c>
      <c r="E5" t="s">
        <v>2675</v>
      </c>
    </row>
    <row r="6" spans="2:5">
      <c r="B6" s="229" t="s">
        <v>299</v>
      </c>
      <c r="C6" t="str">
        <f t="shared" si="0"/>
        <v>AXIS SWEATER LTD</v>
      </c>
      <c r="E6" t="s">
        <v>299</v>
      </c>
    </row>
    <row r="7" spans="2:5">
      <c r="B7" s="229" t="s">
        <v>2612</v>
      </c>
      <c r="C7" t="str">
        <f t="shared" si="0"/>
        <v>ROCO ENTERPRISE</v>
      </c>
      <c r="E7" t="s">
        <v>18</v>
      </c>
    </row>
    <row r="8" spans="2:5">
      <c r="B8" s="229" t="s">
        <v>1699</v>
      </c>
      <c r="C8" t="str">
        <f t="shared" si="0"/>
        <v>AB FASHION LTD</v>
      </c>
      <c r="E8" t="s">
        <v>455</v>
      </c>
    </row>
    <row r="9" spans="2:5">
      <c r="B9" s="229" t="s">
        <v>1699</v>
      </c>
      <c r="C9" t="str">
        <f t="shared" si="0"/>
        <v>AB FASHION LTD</v>
      </c>
      <c r="E9" t="s">
        <v>455</v>
      </c>
    </row>
    <row r="10" spans="2:5">
      <c r="B10" s="229" t="s">
        <v>1750</v>
      </c>
      <c r="C10" t="str">
        <f t="shared" si="0"/>
        <v>BLUE STAR APPARELS</v>
      </c>
      <c r="E10" t="s">
        <v>1750</v>
      </c>
    </row>
    <row r="11" spans="2:5">
      <c r="B11" s="229" t="s">
        <v>364</v>
      </c>
      <c r="C11" t="str">
        <f t="shared" si="0"/>
        <v>BENGAL FRIENDS &amp; CO.LTD</v>
      </c>
      <c r="E11" t="s">
        <v>2676</v>
      </c>
    </row>
    <row r="12" spans="2:5">
      <c r="B12" s="229" t="s">
        <v>367</v>
      </c>
      <c r="C12" t="str">
        <f t="shared" si="0"/>
        <v>CHAIN INDUSTIRES LTD</v>
      </c>
      <c r="E12" t="s">
        <v>367</v>
      </c>
    </row>
    <row r="13" spans="2:5">
      <c r="B13" s="229" t="s">
        <v>367</v>
      </c>
      <c r="C13" t="str">
        <f t="shared" si="0"/>
        <v>CHAIN INDUSTIRES LTD</v>
      </c>
      <c r="E13" t="s">
        <v>367</v>
      </c>
    </row>
    <row r="14" spans="2:5">
      <c r="B14" s="229" t="s">
        <v>412</v>
      </c>
      <c r="C14" t="str">
        <f t="shared" si="0"/>
        <v>CENTURY KNITWEAR LTD</v>
      </c>
      <c r="E14" t="s">
        <v>412</v>
      </c>
    </row>
    <row r="15" spans="2:5">
      <c r="B15" s="229" t="s">
        <v>412</v>
      </c>
      <c r="C15" t="str">
        <f t="shared" si="0"/>
        <v>CENTURY KNITWEAR LTD</v>
      </c>
      <c r="E15" t="s">
        <v>412</v>
      </c>
    </row>
    <row r="16" spans="2:5">
      <c r="B16" s="229" t="s">
        <v>412</v>
      </c>
      <c r="C16" t="str">
        <f t="shared" si="0"/>
        <v>CENTURY KNITWEAR LTD</v>
      </c>
      <c r="E16" t="s">
        <v>412</v>
      </c>
    </row>
    <row r="17" spans="2:5">
      <c r="B17" s="229" t="s">
        <v>412</v>
      </c>
      <c r="C17" t="str">
        <f t="shared" si="0"/>
        <v>CENTURY KNITWEAR LTD</v>
      </c>
      <c r="E17" t="s">
        <v>412</v>
      </c>
    </row>
    <row r="18" spans="2:5">
      <c r="B18" s="229" t="s">
        <v>412</v>
      </c>
      <c r="C18" t="str">
        <f t="shared" si="0"/>
        <v>CENTURY KNITWEAR LTD</v>
      </c>
      <c r="E18" t="s">
        <v>412</v>
      </c>
    </row>
    <row r="19" spans="2:5">
      <c r="B19" s="229" t="s">
        <v>412</v>
      </c>
      <c r="C19" t="str">
        <f t="shared" si="0"/>
        <v>CENTURY KNITWEAR LTD</v>
      </c>
      <c r="E19" t="s">
        <v>412</v>
      </c>
    </row>
    <row r="20" spans="2:5">
      <c r="B20" s="229" t="s">
        <v>2495</v>
      </c>
      <c r="C20" t="str">
        <f t="shared" si="0"/>
        <v>COMMISSIONER APPLS.</v>
      </c>
      <c r="E20" t="s">
        <v>2495</v>
      </c>
    </row>
    <row r="21" spans="2:5">
      <c r="B21" s="229" t="s">
        <v>461</v>
      </c>
      <c r="C21" t="str">
        <f t="shared" si="0"/>
        <v>F.R.GARMENTS LTD</v>
      </c>
      <c r="E21" t="s">
        <v>461</v>
      </c>
    </row>
    <row r="22" spans="2:5">
      <c r="B22" s="229" t="s">
        <v>461</v>
      </c>
      <c r="C22" t="str">
        <f t="shared" si="0"/>
        <v>F.R.GARMENTS LTD</v>
      </c>
      <c r="E22" t="s">
        <v>461</v>
      </c>
    </row>
    <row r="23" spans="2:5">
      <c r="B23" s="229" t="s">
        <v>461</v>
      </c>
      <c r="C23" t="str">
        <f t="shared" si="0"/>
        <v>F.R.GARMENTS LTD</v>
      </c>
      <c r="E23" t="s">
        <v>461</v>
      </c>
    </row>
    <row r="24" spans="2:5">
      <c r="B24" s="229" t="s">
        <v>328</v>
      </c>
      <c r="C24" t="str">
        <f t="shared" si="0"/>
        <v>HAVANA GARMENTS LTD</v>
      </c>
      <c r="E24" t="s">
        <v>328</v>
      </c>
    </row>
    <row r="25" spans="2:5">
      <c r="B25" s="229" t="s">
        <v>1819</v>
      </c>
      <c r="C25" t="str">
        <f t="shared" si="0"/>
        <v>INTERWING KNIT WEAR LTD</v>
      </c>
      <c r="E25" t="s">
        <v>2657</v>
      </c>
    </row>
    <row r="26" spans="2:5">
      <c r="B26" s="229" t="s">
        <v>2500</v>
      </c>
      <c r="C26" t="str">
        <f t="shared" si="0"/>
        <v>INTERWING KNIT WEAR LTD</v>
      </c>
      <c r="E26" t="s">
        <v>2657</v>
      </c>
    </row>
    <row r="27" spans="2:5">
      <c r="B27" s="229" t="s">
        <v>2503</v>
      </c>
      <c r="C27" t="str">
        <f t="shared" si="0"/>
        <v>INTERWING KNIT WEARLTD</v>
      </c>
      <c r="E27" t="s">
        <v>2658</v>
      </c>
    </row>
    <row r="28" spans="2:5">
      <c r="B28" s="229" t="s">
        <v>1826</v>
      </c>
      <c r="C28" t="str">
        <f t="shared" si="0"/>
        <v>JALANI SHILPA LTD</v>
      </c>
      <c r="E28" t="s">
        <v>1826</v>
      </c>
    </row>
    <row r="29" spans="2:5">
      <c r="B29" s="229" t="s">
        <v>1849</v>
      </c>
      <c r="C29" t="str">
        <f t="shared" si="0"/>
        <v>M.HOSSAIN GARMENTS</v>
      </c>
      <c r="E29" t="s">
        <v>1849</v>
      </c>
    </row>
    <row r="30" spans="2:5">
      <c r="B30" s="229" t="s">
        <v>1885</v>
      </c>
      <c r="C30" t="str">
        <f t="shared" si="0"/>
        <v>MILLINEAM INT'L LTD</v>
      </c>
      <c r="E30" t="s">
        <v>1885</v>
      </c>
    </row>
    <row r="31" spans="2:5">
      <c r="B31" s="229" t="s">
        <v>874</v>
      </c>
      <c r="C31" t="str">
        <f t="shared" si="0"/>
        <v>MAYN INT'L LTD.</v>
      </c>
      <c r="E31" t="s">
        <v>432</v>
      </c>
    </row>
    <row r="32" spans="2:5">
      <c r="B32" s="229" t="s">
        <v>432</v>
      </c>
      <c r="C32" t="str">
        <f t="shared" si="0"/>
        <v>MAYN INT'L LTD.</v>
      </c>
      <c r="E32" t="s">
        <v>432</v>
      </c>
    </row>
    <row r="33" spans="2:5">
      <c r="B33" s="229" t="s">
        <v>874</v>
      </c>
      <c r="C33" t="str">
        <f t="shared" si="0"/>
        <v>MAYN INT'L LTD.</v>
      </c>
      <c r="E33" t="s">
        <v>432</v>
      </c>
    </row>
    <row r="34" spans="2:5">
      <c r="B34" s="229" t="s">
        <v>432</v>
      </c>
      <c r="C34" t="str">
        <f t="shared" si="0"/>
        <v>MAYN INT'L LTD.</v>
      </c>
      <c r="E34" t="s">
        <v>432</v>
      </c>
    </row>
    <row r="35" spans="2:5">
      <c r="B35" s="229" t="s">
        <v>440</v>
      </c>
      <c r="C35" t="str">
        <f t="shared" si="0"/>
        <v>SHAMRAT FASHIONS LTD</v>
      </c>
      <c r="E35" t="s">
        <v>440</v>
      </c>
    </row>
    <row r="36" spans="2:5">
      <c r="B36" s="229" t="s">
        <v>392</v>
      </c>
      <c r="C36" t="str">
        <f t="shared" si="0"/>
        <v>SIKDER FOOD &amp; IND.COLTD</v>
      </c>
      <c r="E36" t="s">
        <v>392</v>
      </c>
    </row>
    <row r="37" spans="2:5">
      <c r="B37" s="229" t="s">
        <v>1975</v>
      </c>
      <c r="C37" t="str">
        <f t="shared" si="0"/>
        <v>SHAH ALI KNIT WEAR</v>
      </c>
      <c r="E37" t="s">
        <v>1975</v>
      </c>
    </row>
    <row r="38" spans="2:5">
      <c r="B38" s="229" t="s">
        <v>377</v>
      </c>
      <c r="C38" t="str">
        <f t="shared" si="0"/>
        <v>SAAM BUSINESS PVT.LTD</v>
      </c>
      <c r="E38" t="s">
        <v>2677</v>
      </c>
    </row>
    <row r="39" spans="2:5">
      <c r="B39" s="229" t="s">
        <v>377</v>
      </c>
      <c r="C39" t="str">
        <f t="shared" si="0"/>
        <v>SAAM BUSINESS PVT.LTD</v>
      </c>
      <c r="E39" t="s">
        <v>2677</v>
      </c>
    </row>
    <row r="40" spans="2:5">
      <c r="B40" s="229" t="s">
        <v>377</v>
      </c>
      <c r="C40" t="str">
        <f t="shared" si="0"/>
        <v>SAAM BUSINESS PVT.LTD</v>
      </c>
      <c r="E40" t="s">
        <v>377</v>
      </c>
    </row>
    <row r="41" spans="2:5">
      <c r="B41" s="229" t="s">
        <v>377</v>
      </c>
      <c r="C41" t="str">
        <f t="shared" si="0"/>
        <v>SAAM BUSINESS PVT.LTD</v>
      </c>
      <c r="E41" t="s">
        <v>377</v>
      </c>
    </row>
    <row r="42" spans="2:5">
      <c r="B42" s="229" t="s">
        <v>377</v>
      </c>
      <c r="C42" t="str">
        <f t="shared" si="0"/>
        <v>SAAM BUSINESS PVT.LTD</v>
      </c>
      <c r="E42" t="s">
        <v>377</v>
      </c>
    </row>
    <row r="43" spans="2:5">
      <c r="B43" s="229" t="s">
        <v>377</v>
      </c>
      <c r="C43" t="str">
        <f t="shared" si="0"/>
        <v>SAAM BUSINESS PVT.LTD</v>
      </c>
      <c r="E43" t="s">
        <v>377</v>
      </c>
    </row>
    <row r="44" spans="2:5">
      <c r="B44" s="229" t="s">
        <v>389</v>
      </c>
      <c r="C44" t="str">
        <f t="shared" si="0"/>
        <v>SAHIDULLAH KHAN M.P.</v>
      </c>
      <c r="E44" t="s">
        <v>389</v>
      </c>
    </row>
    <row r="45" spans="2:5">
      <c r="B45" s="229" t="s">
        <v>2001</v>
      </c>
      <c r="C45" t="str">
        <f t="shared" si="0"/>
        <v>SNOW WHITE COTTON LTD</v>
      </c>
      <c r="E45" t="s">
        <v>2659</v>
      </c>
    </row>
    <row r="46" spans="2:5">
      <c r="B46" s="229" t="s">
        <v>395</v>
      </c>
      <c r="C46" t="str">
        <f t="shared" si="0"/>
        <v>SHITALAKHMA ICE &amp; COLD</v>
      </c>
      <c r="E46" t="s">
        <v>395</v>
      </c>
    </row>
    <row r="47" spans="2:5">
      <c r="B47" s="229" t="s">
        <v>352</v>
      </c>
      <c r="C47" t="str">
        <f t="shared" si="0"/>
        <v>TINA KNITING LTD</v>
      </c>
      <c r="E47" t="s">
        <v>352</v>
      </c>
    </row>
    <row r="48" spans="2:5">
      <c r="B48" s="229" t="s">
        <v>397</v>
      </c>
      <c r="C48" t="str">
        <f t="shared" si="0"/>
        <v>TOUGH STITCH APPARELS</v>
      </c>
      <c r="E48" t="s">
        <v>397</v>
      </c>
    </row>
    <row r="49" spans="2:5">
      <c r="B49" s="229" t="s">
        <v>397</v>
      </c>
      <c r="C49" t="str">
        <f t="shared" si="0"/>
        <v>TOUGH STITCH APPARELS</v>
      </c>
      <c r="E49" t="s">
        <v>397</v>
      </c>
    </row>
    <row r="50" spans="2:5">
      <c r="B50" s="229" t="s">
        <v>358</v>
      </c>
      <c r="C50" t="str">
        <f t="shared" si="0"/>
        <v>UNI ASIA TEXTILE LTD</v>
      </c>
      <c r="E50" t="s">
        <v>358</v>
      </c>
    </row>
    <row r="51" spans="2:5">
      <c r="B51" s="229" t="s">
        <v>402</v>
      </c>
      <c r="C51" t="str">
        <f t="shared" si="0"/>
        <v>VEGA SWEATER PVT LTD</v>
      </c>
      <c r="E51" t="s">
        <v>402</v>
      </c>
    </row>
    <row r="52" spans="2:5">
      <c r="B52" s="229" t="s">
        <v>2526</v>
      </c>
      <c r="C52" t="str">
        <f t="shared" si="0"/>
        <v>SAVAR GARMENTS LTD.</v>
      </c>
      <c r="E52" t="s">
        <v>2526</v>
      </c>
    </row>
    <row r="53" spans="2:5">
      <c r="B53" s="229" t="s">
        <v>2526</v>
      </c>
      <c r="C53" t="str">
        <f t="shared" si="0"/>
        <v>SAVAR GARMENTS LTD.</v>
      </c>
      <c r="E53" t="s">
        <v>2526</v>
      </c>
    </row>
    <row r="54" spans="2:5">
      <c r="B54" s="229" t="s">
        <v>2526</v>
      </c>
      <c r="C54" t="str">
        <f t="shared" si="0"/>
        <v>SAVAR GARMENTS LTD.</v>
      </c>
      <c r="E54" t="s">
        <v>2526</v>
      </c>
    </row>
    <row r="55" spans="2:5">
      <c r="B55" s="229" t="s">
        <v>2526</v>
      </c>
      <c r="C55" t="str">
        <f t="shared" si="0"/>
        <v>SAVAR GARMENTS LTD.</v>
      </c>
      <c r="E55" t="s">
        <v>2526</v>
      </c>
    </row>
    <row r="56" spans="2:5">
      <c r="B56" s="229" t="s">
        <v>1922</v>
      </c>
      <c r="C56" t="str">
        <f t="shared" si="0"/>
        <v>PROPHECY APPARELS (PVT) LTD</v>
      </c>
      <c r="E56" t="s">
        <v>2660</v>
      </c>
    </row>
    <row r="57" spans="2:5">
      <c r="B57" s="229" t="s">
        <v>1922</v>
      </c>
      <c r="C57" t="str">
        <f t="shared" si="0"/>
        <v>PROPHECY APPARELS (PVT) LTD</v>
      </c>
      <c r="E57" t="s">
        <v>2660</v>
      </c>
    </row>
    <row r="58" spans="2:5">
      <c r="B58" s="229" t="s">
        <v>1922</v>
      </c>
      <c r="C58" t="str">
        <f t="shared" si="0"/>
        <v>PROPHECY APPARELS (PVT) LTD</v>
      </c>
      <c r="E58" t="s">
        <v>2660</v>
      </c>
    </row>
    <row r="59" spans="2:5">
      <c r="B59" s="229" t="s">
        <v>26</v>
      </c>
      <c r="C59" t="str">
        <f t="shared" si="0"/>
        <v>SURUJ MIAH TEXTILE</v>
      </c>
      <c r="E59" t="s">
        <v>26</v>
      </c>
    </row>
    <row r="60" spans="2:5">
      <c r="B60" s="229" t="s">
        <v>472</v>
      </c>
      <c r="C60" t="str">
        <f t="shared" si="0"/>
        <v>BORAX APPARELS LTD</v>
      </c>
      <c r="E60" t="s">
        <v>472</v>
      </c>
    </row>
    <row r="61" spans="2:5">
      <c r="B61" s="229" t="s">
        <v>882</v>
      </c>
      <c r="C61" t="str">
        <f t="shared" si="0"/>
        <v>BORAX APPARELS LTD</v>
      </c>
      <c r="E61" t="s">
        <v>472</v>
      </c>
    </row>
    <row r="62" spans="2:5">
      <c r="B62" s="229" t="s">
        <v>883</v>
      </c>
      <c r="C62" t="str">
        <f t="shared" si="0"/>
        <v>ORK THREAD</v>
      </c>
      <c r="E62" t="s">
        <v>477</v>
      </c>
    </row>
    <row r="63" spans="2:5">
      <c r="B63" s="229" t="s">
        <v>883</v>
      </c>
      <c r="C63" t="str">
        <f t="shared" si="0"/>
        <v>ORK THREAD</v>
      </c>
      <c r="E63" t="s">
        <v>477</v>
      </c>
    </row>
    <row r="64" spans="2:5">
      <c r="B64" s="229" t="s">
        <v>2539</v>
      </c>
      <c r="C64" t="str">
        <f t="shared" si="0"/>
        <v>FNF INDUSTRIES LTD</v>
      </c>
      <c r="E64" t="s">
        <v>1801</v>
      </c>
    </row>
    <row r="65" spans="2:5">
      <c r="B65" s="229" t="s">
        <v>2011</v>
      </c>
      <c r="C65" t="str">
        <f t="shared" si="0"/>
        <v>SUBORNO BANGLADESH</v>
      </c>
      <c r="E65" t="s">
        <v>2011</v>
      </c>
    </row>
    <row r="66" spans="2:5">
      <c r="B66" s="229" t="s">
        <v>1691</v>
      </c>
      <c r="C66" t="str">
        <f t="shared" si="0"/>
        <v>WISTERIA TEXTILE MILLS LTD</v>
      </c>
      <c r="E66" t="s">
        <v>1691</v>
      </c>
    </row>
    <row r="67" spans="2:5">
      <c r="B67" s="229" t="s">
        <v>1691</v>
      </c>
      <c r="C67" t="str">
        <f t="shared" si="0"/>
        <v>WISTERIA TEXTILE MILLS LTD</v>
      </c>
      <c r="E67" t="s">
        <v>1691</v>
      </c>
    </row>
    <row r="68" spans="2:5">
      <c r="B68" s="229" t="s">
        <v>1582</v>
      </c>
      <c r="C68" t="str">
        <f t="shared" ref="C68:C131" si="1">UPPER(TRIM(B68))</f>
        <v>BD SUGAR AND FOOD</v>
      </c>
      <c r="E68" t="s">
        <v>1582</v>
      </c>
    </row>
    <row r="69" spans="2:5">
      <c r="B69" s="229" t="s">
        <v>1691</v>
      </c>
      <c r="C69" t="str">
        <f t="shared" si="1"/>
        <v>WISTERIA TEXTILE MILLS LTD</v>
      </c>
      <c r="E69" t="s">
        <v>1691</v>
      </c>
    </row>
    <row r="70" spans="2:5">
      <c r="B70" s="229" t="s">
        <v>2543</v>
      </c>
      <c r="C70" t="str">
        <f t="shared" si="1"/>
        <v>BD SUGAR AND FOOD</v>
      </c>
      <c r="E70" t="s">
        <v>1582</v>
      </c>
    </row>
    <row r="71" spans="2:5">
      <c r="B71" s="229" t="s">
        <v>499</v>
      </c>
      <c r="C71" t="str">
        <f t="shared" si="1"/>
        <v>LEEU FASHION</v>
      </c>
      <c r="E71" t="s">
        <v>1832</v>
      </c>
    </row>
    <row r="72" spans="2:5">
      <c r="B72" s="229" t="s">
        <v>517</v>
      </c>
      <c r="C72" t="str">
        <f t="shared" si="1"/>
        <v>WISTERIA TEXTILES LIMITED</v>
      </c>
      <c r="E72" t="s">
        <v>517</v>
      </c>
    </row>
    <row r="73" spans="2:5">
      <c r="B73" s="229" t="s">
        <v>1436</v>
      </c>
      <c r="C73" t="str">
        <f t="shared" si="1"/>
        <v>SHAHABA YARN LTD</v>
      </c>
      <c r="E73" t="s">
        <v>1436</v>
      </c>
    </row>
    <row r="74" spans="2:5">
      <c r="B74" s="229" t="s">
        <v>2631</v>
      </c>
      <c r="C74" t="str">
        <f t="shared" si="1"/>
        <v>HORIZONE FASHION</v>
      </c>
      <c r="E74" t="s">
        <v>2631</v>
      </c>
    </row>
    <row r="75" spans="2:5">
      <c r="B75" s="229" t="s">
        <v>86</v>
      </c>
      <c r="C75" t="str">
        <f t="shared" si="1"/>
        <v>SHAHABA YARN LTD</v>
      </c>
      <c r="E75" t="s">
        <v>1436</v>
      </c>
    </row>
    <row r="76" spans="2:5">
      <c r="B76" s="229" t="s">
        <v>499</v>
      </c>
      <c r="C76" t="str">
        <f t="shared" si="1"/>
        <v>LEEU FASHION</v>
      </c>
      <c r="E76" t="s">
        <v>1832</v>
      </c>
    </row>
    <row r="77" spans="2:5">
      <c r="B77" s="229" t="s">
        <v>2057</v>
      </c>
      <c r="C77" t="str">
        <f t="shared" si="1"/>
        <v>WISTERIA TEXTILES LTD</v>
      </c>
      <c r="E77" t="s">
        <v>2057</v>
      </c>
    </row>
    <row r="78" spans="2:5">
      <c r="B78" s="229" t="s">
        <v>1832</v>
      </c>
      <c r="C78" t="str">
        <f t="shared" si="1"/>
        <v>LEEU FASHION</v>
      </c>
      <c r="E78" t="s">
        <v>1832</v>
      </c>
    </row>
    <row r="79" spans="2:5">
      <c r="B79" s="229" t="s">
        <v>1436</v>
      </c>
      <c r="C79" t="str">
        <f t="shared" si="1"/>
        <v>SHAHABA YARN LTD</v>
      </c>
      <c r="E79" t="s">
        <v>1436</v>
      </c>
    </row>
    <row r="80" spans="2:5">
      <c r="B80" s="229" t="s">
        <v>549</v>
      </c>
      <c r="C80" t="str">
        <f t="shared" si="1"/>
        <v>HORIZON FASHION LTD</v>
      </c>
      <c r="E80" t="s">
        <v>659</v>
      </c>
    </row>
    <row r="81" spans="2:5">
      <c r="B81" s="229" t="s">
        <v>2552</v>
      </c>
      <c r="C81" t="str">
        <f t="shared" si="1"/>
        <v>RUPSHI FISH FEED LTD</v>
      </c>
      <c r="E81" t="s">
        <v>2661</v>
      </c>
    </row>
    <row r="82" spans="2:5">
      <c r="B82" s="229" t="s">
        <v>1427</v>
      </c>
      <c r="C82" t="str">
        <f t="shared" si="1"/>
        <v>LEEU FASHION LTD</v>
      </c>
      <c r="E82" t="s">
        <v>1427</v>
      </c>
    </row>
    <row r="83" spans="2:5">
      <c r="B83" s="229" t="s">
        <v>107</v>
      </c>
      <c r="C83" t="str">
        <f t="shared" si="1"/>
        <v>LEEU FASHION LTD</v>
      </c>
      <c r="E83" t="s">
        <v>1427</v>
      </c>
    </row>
    <row r="84" spans="2:5">
      <c r="B84" s="229" t="s">
        <v>906</v>
      </c>
      <c r="C84" t="str">
        <f t="shared" si="1"/>
        <v>SHAHBA YARN MILLS LTD</v>
      </c>
      <c r="E84" t="s">
        <v>2662</v>
      </c>
    </row>
    <row r="85" spans="2:5">
      <c r="B85" s="229" t="s">
        <v>2558</v>
      </c>
      <c r="C85" t="str">
        <f t="shared" si="1"/>
        <v>R R SWEATER LTD</v>
      </c>
      <c r="E85" t="s">
        <v>1936</v>
      </c>
    </row>
    <row r="86" spans="2:5">
      <c r="B86" s="229" t="s">
        <v>1427</v>
      </c>
      <c r="C86" t="str">
        <f t="shared" si="1"/>
        <v>LEEU FASHION LTD</v>
      </c>
      <c r="E86" t="s">
        <v>1427</v>
      </c>
    </row>
    <row r="87" spans="2:5">
      <c r="B87" s="229" t="s">
        <v>1808</v>
      </c>
      <c r="C87" t="str">
        <f t="shared" si="1"/>
        <v>HORIZON FASHION LTD</v>
      </c>
      <c r="E87" t="s">
        <v>659</v>
      </c>
    </row>
    <row r="88" spans="2:5">
      <c r="B88" s="229" t="s">
        <v>1991</v>
      </c>
      <c r="C88" t="str">
        <f t="shared" si="1"/>
        <v>SHAHABA YARN MILLS LTD</v>
      </c>
      <c r="E88" t="s">
        <v>2663</v>
      </c>
    </row>
    <row r="89" spans="2:5">
      <c r="B89" s="229" t="s">
        <v>1978</v>
      </c>
      <c r="C89" t="str">
        <f t="shared" si="1"/>
        <v>SHAHABA YARN LTD</v>
      </c>
      <c r="E89" t="s">
        <v>1436</v>
      </c>
    </row>
    <row r="90" spans="2:5">
      <c r="B90" s="229" t="s">
        <v>2637</v>
      </c>
      <c r="C90" t="str">
        <f t="shared" si="1"/>
        <v>ARISTOCRATE AGRO LTD</v>
      </c>
      <c r="E90" t="s">
        <v>1585</v>
      </c>
    </row>
    <row r="91" spans="2:5">
      <c r="B91" s="229" t="s">
        <v>1722</v>
      </c>
      <c r="C91" t="str">
        <f t="shared" si="1"/>
        <v>ARISTOCRATE NON WOVEN LTD</v>
      </c>
      <c r="E91" t="s">
        <v>1584</v>
      </c>
    </row>
    <row r="92" spans="2:5">
      <c r="B92" s="229" t="s">
        <v>1915</v>
      </c>
      <c r="C92" t="str">
        <f t="shared" si="1"/>
        <v>PACIFIC SHOES LTD</v>
      </c>
      <c r="E92" t="s">
        <v>2664</v>
      </c>
    </row>
    <row r="93" spans="2:5">
      <c r="B93" s="229" t="s">
        <v>1965</v>
      </c>
      <c r="C93" t="str">
        <f t="shared" si="1"/>
        <v>SAMYTEX INDUSTRIES LTD</v>
      </c>
      <c r="E93" t="s">
        <v>1010</v>
      </c>
    </row>
    <row r="94" spans="2:5">
      <c r="B94" s="229" t="s">
        <v>1978</v>
      </c>
      <c r="C94" t="str">
        <f t="shared" si="1"/>
        <v>SHAHABA YARN LTD</v>
      </c>
      <c r="E94" t="s">
        <v>1436</v>
      </c>
    </row>
    <row r="95" spans="2:5">
      <c r="B95" s="229" t="s">
        <v>1965</v>
      </c>
      <c r="C95" t="str">
        <f t="shared" si="1"/>
        <v>SAMYTEX INDUSTRIES LTD</v>
      </c>
      <c r="E95" t="s">
        <v>1010</v>
      </c>
    </row>
    <row r="96" spans="2:5">
      <c r="B96" s="229" t="s">
        <v>1907</v>
      </c>
      <c r="C96" t="str">
        <f t="shared" si="1"/>
        <v>PACIFIC SHOES &amp; BAGS IND LTD</v>
      </c>
      <c r="E96" t="s">
        <v>1590</v>
      </c>
    </row>
    <row r="97" spans="2:5">
      <c r="B97" s="229" t="s">
        <v>634</v>
      </c>
      <c r="C97" t="str">
        <f t="shared" si="1"/>
        <v>PACIFIC FOOTWEAR INDUSTRY LTD</v>
      </c>
      <c r="E97" t="s">
        <v>2665</v>
      </c>
    </row>
    <row r="98" spans="2:5">
      <c r="B98" s="229" t="s">
        <v>631</v>
      </c>
      <c r="C98" t="str">
        <f t="shared" si="1"/>
        <v>ASSERTION DESIGNERS LTD</v>
      </c>
      <c r="E98" t="s">
        <v>623</v>
      </c>
    </row>
    <row r="99" spans="2:5">
      <c r="B99" s="229" t="s">
        <v>623</v>
      </c>
      <c r="C99" t="str">
        <f t="shared" si="1"/>
        <v>ASSERTION DESIGNERS LTD</v>
      </c>
      <c r="E99" t="s">
        <v>623</v>
      </c>
    </row>
    <row r="100" spans="2:5">
      <c r="B100" s="229" t="s">
        <v>620</v>
      </c>
      <c r="C100" t="str">
        <f t="shared" si="1"/>
        <v>MAHID APPREALS LTD</v>
      </c>
      <c r="E100" t="s">
        <v>2666</v>
      </c>
    </row>
    <row r="101" spans="2:5">
      <c r="B101" s="229" t="s">
        <v>1829</v>
      </c>
      <c r="C101" t="str">
        <f t="shared" si="1"/>
        <v>LEEU FASHION LTD</v>
      </c>
      <c r="E101" t="s">
        <v>1427</v>
      </c>
    </row>
    <row r="102" spans="2:5">
      <c r="B102" s="229" t="s">
        <v>86</v>
      </c>
      <c r="C102" t="str">
        <f t="shared" si="1"/>
        <v>SHAHABA YARN LTD</v>
      </c>
      <c r="E102" t="s">
        <v>1436</v>
      </c>
    </row>
    <row r="103" spans="2:5">
      <c r="B103" s="229" t="s">
        <v>1945</v>
      </c>
      <c r="C103" t="str">
        <f t="shared" si="1"/>
        <v>RUPSHI FEED LTD</v>
      </c>
      <c r="E103" t="s">
        <v>1945</v>
      </c>
    </row>
    <row r="104" spans="2:5">
      <c r="B104" s="229" t="s">
        <v>620</v>
      </c>
      <c r="C104" t="str">
        <f t="shared" si="1"/>
        <v>MAHID APPREALS LTD</v>
      </c>
      <c r="E104" t="s">
        <v>2666</v>
      </c>
    </row>
    <row r="105" spans="2:5">
      <c r="B105" s="229" t="s">
        <v>1912</v>
      </c>
      <c r="C105" t="str">
        <f t="shared" si="1"/>
        <v>PACIFIC SHOES AND BAGS IND LTD</v>
      </c>
      <c r="E105" t="s">
        <v>1912</v>
      </c>
    </row>
    <row r="106" spans="2:5">
      <c r="B106" s="229" t="s">
        <v>1846</v>
      </c>
      <c r="C106" t="str">
        <f t="shared" si="1"/>
        <v>LEEU FASHIONS LTD</v>
      </c>
      <c r="E106" t="s">
        <v>1846</v>
      </c>
    </row>
    <row r="107" spans="2:5">
      <c r="B107" s="229" t="s">
        <v>1427</v>
      </c>
      <c r="C107" t="str">
        <f t="shared" si="1"/>
        <v>LEEU FASHION LTD</v>
      </c>
      <c r="E107" t="s">
        <v>1427</v>
      </c>
    </row>
    <row r="108" spans="2:5">
      <c r="B108" s="229" t="s">
        <v>2038</v>
      </c>
      <c r="C108" t="str">
        <f t="shared" si="1"/>
        <v>TRUST FABRICS AND KNITING (PVT) LTD</v>
      </c>
      <c r="E108" t="s">
        <v>2031</v>
      </c>
    </row>
    <row r="109" spans="2:5">
      <c r="B109" s="229" t="s">
        <v>458</v>
      </c>
      <c r="C109" t="str">
        <f t="shared" si="1"/>
        <v>NEW BROTHER KNITWEAR LTD</v>
      </c>
      <c r="E109" t="s">
        <v>458</v>
      </c>
    </row>
    <row r="110" spans="2:5">
      <c r="B110" s="229" t="s">
        <v>377</v>
      </c>
      <c r="C110" t="str">
        <f t="shared" si="1"/>
        <v>SAAM BUSINESS PVT.LTD</v>
      </c>
      <c r="E110" t="s">
        <v>377</v>
      </c>
    </row>
    <row r="111" spans="2:5">
      <c r="B111" s="229" t="s">
        <v>2046</v>
      </c>
      <c r="C111" t="str">
        <f t="shared" si="1"/>
        <v>VISTA FIBERS</v>
      </c>
      <c r="E111" t="s">
        <v>2046</v>
      </c>
    </row>
    <row r="112" spans="2:5">
      <c r="B112" s="229" t="s">
        <v>2064</v>
      </c>
      <c r="C112" t="str">
        <f t="shared" si="1"/>
        <v>ZEAL TEXTILE LTD</v>
      </c>
      <c r="E112" t="s">
        <v>2064</v>
      </c>
    </row>
    <row r="113" spans="2:5">
      <c r="B113" s="229" t="s">
        <v>1582</v>
      </c>
      <c r="C113" t="str">
        <f t="shared" si="1"/>
        <v>BD SUGAR AND FOOD</v>
      </c>
      <c r="E113" t="s">
        <v>1582</v>
      </c>
    </row>
    <row r="114" spans="2:5">
      <c r="B114" s="229" t="s">
        <v>2010</v>
      </c>
      <c r="C114" t="str">
        <f t="shared" si="1"/>
        <v>SONALI FEBRICS AND TEXTILE MILLS LTD. (SWEATER UNIT)</v>
      </c>
      <c r="E114" t="s">
        <v>2010</v>
      </c>
    </row>
    <row r="115" spans="2:5">
      <c r="B115" s="229" t="s">
        <v>1622</v>
      </c>
      <c r="C115" t="str">
        <f t="shared" si="1"/>
        <v>MUTUAL CONCERN CORPORATION LTD</v>
      </c>
      <c r="E115" t="s">
        <v>1622</v>
      </c>
    </row>
    <row r="116" spans="2:5">
      <c r="B116" s="229" t="s">
        <v>126</v>
      </c>
      <c r="C116" t="str">
        <f t="shared" si="1"/>
        <v>ZAKIA COTTONTEX LTD</v>
      </c>
      <c r="E116" t="s">
        <v>126</v>
      </c>
    </row>
    <row r="117" spans="2:5">
      <c r="B117" s="229" t="s">
        <v>145</v>
      </c>
      <c r="C117" t="str">
        <f t="shared" si="1"/>
        <v>SWISS QUALITY LTD</v>
      </c>
      <c r="E117" t="s">
        <v>145</v>
      </c>
    </row>
    <row r="118" spans="2:5">
      <c r="B118" s="229" t="s">
        <v>144</v>
      </c>
      <c r="C118" t="str">
        <f t="shared" si="1"/>
        <v>TANZINA FASHION LTD</v>
      </c>
      <c r="E118" t="s">
        <v>144</v>
      </c>
    </row>
    <row r="119" spans="2:5">
      <c r="B119" s="229" t="s">
        <v>2031</v>
      </c>
      <c r="C119" t="str">
        <f t="shared" si="1"/>
        <v>TRUST FABRICS AND KNITING (PVT) LTD</v>
      </c>
      <c r="E119" t="s">
        <v>2031</v>
      </c>
    </row>
    <row r="120" spans="2:5">
      <c r="B120" s="229" t="s">
        <v>639</v>
      </c>
      <c r="C120" t="str">
        <f t="shared" si="1"/>
        <v>HORIZON FASHIONLTD</v>
      </c>
      <c r="E120" t="s">
        <v>639</v>
      </c>
    </row>
    <row r="121" spans="2:5">
      <c r="B121" s="229" t="s">
        <v>1907</v>
      </c>
      <c r="C121" t="str">
        <f t="shared" si="1"/>
        <v>PACIFIC SHOES &amp; BAGS IND LTD</v>
      </c>
      <c r="E121" t="s">
        <v>1590</v>
      </c>
    </row>
    <row r="122" spans="2:5">
      <c r="B122" s="229" t="s">
        <v>2031</v>
      </c>
      <c r="C122" t="str">
        <f t="shared" si="1"/>
        <v>TRUST FABRICS AND KNITING (PVT) LTD</v>
      </c>
      <c r="E122" t="s">
        <v>2031</v>
      </c>
    </row>
    <row r="123" spans="2:5">
      <c r="B123" s="229" t="s">
        <v>659</v>
      </c>
      <c r="C123" t="str">
        <f t="shared" si="1"/>
        <v>HORIZON FASHION LTD</v>
      </c>
      <c r="E123" t="s">
        <v>659</v>
      </c>
    </row>
    <row r="124" spans="2:5">
      <c r="B124" s="229" t="s">
        <v>634</v>
      </c>
      <c r="C124" t="str">
        <f t="shared" si="1"/>
        <v>PACIFIC FOOTWEAR INDUSTRY LTD</v>
      </c>
      <c r="E124" t="s">
        <v>2665</v>
      </c>
    </row>
    <row r="125" spans="2:5">
      <c r="B125" s="229" t="s">
        <v>666</v>
      </c>
      <c r="C125" t="str">
        <f t="shared" si="1"/>
        <v>PACIFIC FOOTWEAR INDUSTRIES LTD</v>
      </c>
      <c r="E125" t="s">
        <v>666</v>
      </c>
    </row>
    <row r="126" spans="2:5">
      <c r="B126" s="229" t="s">
        <v>2004</v>
      </c>
      <c r="C126" t="str">
        <f t="shared" si="1"/>
        <v>SONALI FEBRICS &amp; TEXTILE MILLS LTD</v>
      </c>
      <c r="E126" t="s">
        <v>2667</v>
      </c>
    </row>
    <row r="127" spans="2:5">
      <c r="B127" s="229" t="s">
        <v>682</v>
      </c>
      <c r="C127" t="str">
        <f t="shared" si="1"/>
        <v>YARA KNITWEAR LTD</v>
      </c>
      <c r="E127" t="s">
        <v>2668</v>
      </c>
    </row>
    <row r="128" spans="2:5">
      <c r="B128" s="229" t="s">
        <v>2004</v>
      </c>
      <c r="C128" t="str">
        <f t="shared" si="1"/>
        <v>SONALI FEBRICS &amp; TEXTILE MILLS LTD</v>
      </c>
      <c r="E128" t="s">
        <v>2667</v>
      </c>
    </row>
    <row r="129" spans="2:5">
      <c r="B129" s="229" t="s">
        <v>695</v>
      </c>
      <c r="C129" t="str">
        <f t="shared" si="1"/>
        <v>TTT LEATHER FOOTWEAR IND PVT LTD</v>
      </c>
      <c r="E129" t="s">
        <v>695</v>
      </c>
    </row>
    <row r="130" spans="2:5">
      <c r="B130" s="229" t="s">
        <v>2031</v>
      </c>
      <c r="C130" t="str">
        <f t="shared" si="1"/>
        <v>TRUST FABRICS AND KNITING (PVT) LTD</v>
      </c>
      <c r="E130" t="s">
        <v>2031</v>
      </c>
    </row>
    <row r="131" spans="2:5">
      <c r="B131" s="229" t="s">
        <v>1865</v>
      </c>
      <c r="C131" t="str">
        <f t="shared" si="1"/>
        <v>MAHID APPREALS LTD</v>
      </c>
      <c r="E131" t="s">
        <v>2666</v>
      </c>
    </row>
    <row r="132" spans="2:5">
      <c r="B132" s="229" t="s">
        <v>2584</v>
      </c>
      <c r="C132" t="str">
        <f t="shared" ref="C132:C195" si="2">UPPER(TRIM(B132))</f>
        <v>MUTUAL CONCERN CORPORATION LTD</v>
      </c>
      <c r="E132" t="s">
        <v>1622</v>
      </c>
    </row>
    <row r="133" spans="2:5">
      <c r="B133" s="229" t="s">
        <v>126</v>
      </c>
      <c r="C133" t="str">
        <f t="shared" si="2"/>
        <v>ZAKIA COTTONTEX LTD</v>
      </c>
      <c r="E133" t="s">
        <v>126</v>
      </c>
    </row>
    <row r="134" spans="2:5">
      <c r="B134" s="229" t="s">
        <v>1930</v>
      </c>
      <c r="C134" t="str">
        <f t="shared" si="2"/>
        <v>R R SPINNING &amp; COTTON MILLS LTD</v>
      </c>
      <c r="E134" t="s">
        <v>1930</v>
      </c>
    </row>
    <row r="135" spans="2:5">
      <c r="B135" s="229" t="s">
        <v>2585</v>
      </c>
      <c r="C135" t="str">
        <f t="shared" si="2"/>
        <v>ANTIM KNITTING DYEING AND FINISHING LTD</v>
      </c>
      <c r="E135" t="s">
        <v>1711</v>
      </c>
    </row>
    <row r="136" spans="2:5">
      <c r="B136" s="229" t="s">
        <v>1711</v>
      </c>
      <c r="C136" t="str">
        <f t="shared" si="2"/>
        <v>ANTIM KNITTING DYEING AND FINISHING LTD</v>
      </c>
      <c r="E136" t="s">
        <v>1711</v>
      </c>
    </row>
    <row r="137" spans="2:5">
      <c r="B137" s="229" t="s">
        <v>1797</v>
      </c>
      <c r="C137" t="str">
        <f t="shared" si="2"/>
        <v>FAY-MAX SWEATER COMPOSITE LTD</v>
      </c>
      <c r="E137" t="s">
        <v>1797</v>
      </c>
    </row>
    <row r="138" spans="2:5">
      <c r="B138" s="229" t="s">
        <v>1860</v>
      </c>
      <c r="C138" t="str">
        <f t="shared" si="2"/>
        <v>MAGPIE KNITWEAR LTD</v>
      </c>
      <c r="E138" t="s">
        <v>160</v>
      </c>
    </row>
    <row r="139" spans="2:5">
      <c r="B139" s="229" t="s">
        <v>1705</v>
      </c>
      <c r="C139" t="str">
        <f t="shared" si="2"/>
        <v>ADVANCED COMPOSITE TEXTILE LTD</v>
      </c>
      <c r="E139" t="s">
        <v>2669</v>
      </c>
    </row>
    <row r="140" spans="2:5">
      <c r="B140" s="229" t="s">
        <v>160</v>
      </c>
      <c r="C140" t="str">
        <f t="shared" si="2"/>
        <v>MAGPIE KNITWEAR LTD</v>
      </c>
      <c r="E140" t="s">
        <v>160</v>
      </c>
    </row>
    <row r="141" spans="2:5">
      <c r="B141" s="229" t="s">
        <v>159</v>
      </c>
      <c r="C141" t="str">
        <f t="shared" si="2"/>
        <v>MAGPIE COMPOSITE LTD</v>
      </c>
      <c r="E141" t="s">
        <v>159</v>
      </c>
    </row>
    <row r="142" spans="2:5">
      <c r="B142" s="229" t="s">
        <v>1872</v>
      </c>
      <c r="C142" t="str">
        <f t="shared" si="2"/>
        <v>MAKS NAHAR INT</v>
      </c>
      <c r="E142" t="s">
        <v>1872</v>
      </c>
    </row>
    <row r="143" spans="2:5">
      <c r="B143" s="229" t="s">
        <v>2587</v>
      </c>
      <c r="C143" t="str">
        <f t="shared" si="2"/>
        <v>MAGPIE COMPOSITE MILLS LTD</v>
      </c>
      <c r="E143" t="s">
        <v>1854</v>
      </c>
    </row>
    <row r="144" spans="2:5">
      <c r="B144" s="229" t="s">
        <v>1708</v>
      </c>
      <c r="C144" t="str">
        <f t="shared" si="2"/>
        <v>ANTIM KNIT COMPOSITE LTD</v>
      </c>
      <c r="E144" t="s">
        <v>1708</v>
      </c>
    </row>
    <row r="145" spans="2:5">
      <c r="B145" s="229" t="s">
        <v>2591</v>
      </c>
      <c r="C145" t="str">
        <f t="shared" si="2"/>
        <v>R R SWEATER LTD</v>
      </c>
      <c r="E145" t="s">
        <v>1936</v>
      </c>
    </row>
    <row r="146" spans="2:5">
      <c r="B146" s="229" t="s">
        <v>1547</v>
      </c>
      <c r="C146" t="str">
        <f t="shared" si="2"/>
        <v>ML THREAD LTD</v>
      </c>
      <c r="E146" t="s">
        <v>1428</v>
      </c>
    </row>
    <row r="147" spans="2:5">
      <c r="B147" s="229" t="s">
        <v>2594</v>
      </c>
      <c r="C147" t="str">
        <f t="shared" si="2"/>
        <v>ML THREAD LTD</v>
      </c>
      <c r="E147" t="s">
        <v>1428</v>
      </c>
    </row>
    <row r="148" spans="2:5">
      <c r="B148" s="229" t="s">
        <v>727</v>
      </c>
      <c r="C148" t="str">
        <f t="shared" si="2"/>
        <v>ANTIM KNIT &amp; DYING FACTORY LTD</v>
      </c>
      <c r="E148" t="s">
        <v>727</v>
      </c>
    </row>
    <row r="149" spans="2:5">
      <c r="B149" s="229" t="s">
        <v>2021</v>
      </c>
      <c r="C149" t="str">
        <f t="shared" si="2"/>
        <v>TEESTA SOLAR LTD</v>
      </c>
      <c r="E149" t="s">
        <v>2670</v>
      </c>
    </row>
    <row r="150" spans="2:5">
      <c r="B150" s="229" t="s">
        <v>1933</v>
      </c>
      <c r="C150" t="str">
        <f t="shared" si="2"/>
        <v>RR SPINNING &amp; COTTON MILLS LTD</v>
      </c>
      <c r="E150" t="s">
        <v>2671</v>
      </c>
    </row>
    <row r="151" spans="2:5">
      <c r="B151" s="229" t="s">
        <v>1734</v>
      </c>
      <c r="C151" t="str">
        <f t="shared" si="2"/>
        <v>BASHUNDHARA MULTI STEEL INDUSTRIES LTD</v>
      </c>
      <c r="E151" t="s">
        <v>1734</v>
      </c>
    </row>
    <row r="152" spans="2:5">
      <c r="B152" s="229" t="s">
        <v>1759</v>
      </c>
      <c r="C152" t="str">
        <f t="shared" si="2"/>
        <v>BUSHUNDHARA MULTI FOOD PRODUCTS LTD</v>
      </c>
      <c r="E152" t="s">
        <v>1759</v>
      </c>
    </row>
    <row r="153" spans="2:5">
      <c r="B153" s="229" t="s">
        <v>1789</v>
      </c>
      <c r="C153" t="str">
        <f t="shared" si="2"/>
        <v>ECO STAR APPAREL LTD</v>
      </c>
      <c r="E153" t="s">
        <v>1789</v>
      </c>
    </row>
    <row r="154" spans="2:5">
      <c r="B154" s="229" t="s">
        <v>1783</v>
      </c>
      <c r="C154" t="str">
        <f t="shared" si="2"/>
        <v>DRESDEN TEXTILES LTD</v>
      </c>
      <c r="E154" t="s">
        <v>614</v>
      </c>
    </row>
    <row r="155" spans="2:5">
      <c r="B155" s="229" t="s">
        <v>614</v>
      </c>
      <c r="C155" t="str">
        <f t="shared" si="2"/>
        <v>DRESDEN TEXTILES LTD</v>
      </c>
      <c r="E155" t="s">
        <v>614</v>
      </c>
    </row>
    <row r="156" spans="2:5">
      <c r="B156" s="229" t="s">
        <v>493</v>
      </c>
      <c r="C156" t="str">
        <f t="shared" si="2"/>
        <v>DRESDEN TEXTILE LTD</v>
      </c>
      <c r="E156" t="s">
        <v>493</v>
      </c>
    </row>
    <row r="157" spans="2:5">
      <c r="B157" s="229" t="s">
        <v>1783</v>
      </c>
      <c r="C157" t="str">
        <f t="shared" si="2"/>
        <v>DRESDEN TEXTILES LTD</v>
      </c>
      <c r="E157" t="s">
        <v>614</v>
      </c>
    </row>
    <row r="158" spans="2:5">
      <c r="B158" s="229" t="s">
        <v>1734</v>
      </c>
      <c r="C158" t="str">
        <f t="shared" si="2"/>
        <v>BASHUNDHARA MULTI STEEL INDUSTRIES LTD</v>
      </c>
      <c r="E158" t="s">
        <v>1734</v>
      </c>
    </row>
    <row r="159" spans="2:5">
      <c r="B159" s="229" t="s">
        <v>1999</v>
      </c>
      <c r="C159" t="str">
        <f t="shared" si="2"/>
        <v>SISTER DENIM-U-2</v>
      </c>
      <c r="E159" t="s">
        <v>1999</v>
      </c>
    </row>
    <row r="160" spans="2:5">
      <c r="B160" s="229" t="s">
        <v>1804</v>
      </c>
      <c r="C160" t="str">
        <f t="shared" si="2"/>
        <v>GPH ISHPAT LTD</v>
      </c>
      <c r="E160" t="s">
        <v>1804</v>
      </c>
    </row>
    <row r="161" spans="2:5">
      <c r="B161" s="229" t="s">
        <v>1857</v>
      </c>
      <c r="C161" t="str">
        <f t="shared" si="2"/>
        <v>MAGPIE COMPOSITE TEXTLE LTD</v>
      </c>
      <c r="E161" t="s">
        <v>2672</v>
      </c>
    </row>
    <row r="162" spans="2:5">
      <c r="B162" s="229" t="s">
        <v>1918</v>
      </c>
      <c r="C162" t="str">
        <f t="shared" si="2"/>
        <v>PARENTS APPARELS</v>
      </c>
      <c r="E162" t="s">
        <v>2673</v>
      </c>
    </row>
    <row r="163" spans="2:5">
      <c r="B163" s="229" t="s">
        <v>2650</v>
      </c>
      <c r="C163" t="str">
        <f t="shared" si="2"/>
        <v>ROAR FASHION BTB</v>
      </c>
      <c r="E163" t="s">
        <v>2650</v>
      </c>
    </row>
    <row r="164" spans="2:5">
      <c r="B164" s="229" t="s">
        <v>1872</v>
      </c>
      <c r="C164" t="str">
        <f t="shared" si="2"/>
        <v>MAKS NAHAR INT</v>
      </c>
      <c r="E164" t="s">
        <v>1872</v>
      </c>
    </row>
    <row r="165" spans="2:5">
      <c r="B165" s="229" t="s">
        <v>1734</v>
      </c>
      <c r="C165" t="str">
        <f t="shared" si="2"/>
        <v>BASHUNDHARA MULTI STEEL INDUSTRIES LTD</v>
      </c>
      <c r="E165" t="s">
        <v>1734</v>
      </c>
    </row>
    <row r="166" spans="2:5">
      <c r="B166" s="229" t="s">
        <v>1547</v>
      </c>
      <c r="C166" t="str">
        <f t="shared" si="2"/>
        <v>ML THREAD LTD</v>
      </c>
      <c r="E166" t="s">
        <v>1428</v>
      </c>
    </row>
    <row r="167" spans="2:5">
      <c r="B167" s="229" t="s">
        <v>1945</v>
      </c>
      <c r="C167" t="str">
        <f t="shared" si="2"/>
        <v>RUPSHI FEED LTD</v>
      </c>
      <c r="E167" t="s">
        <v>1945</v>
      </c>
    </row>
    <row r="168" spans="2:5">
      <c r="B168" s="229" t="s">
        <v>620</v>
      </c>
      <c r="C168" t="str">
        <f t="shared" si="2"/>
        <v>MAHID APPREALS LTD</v>
      </c>
      <c r="E168" t="s">
        <v>2666</v>
      </c>
    </row>
    <row r="169" spans="2:5">
      <c r="B169" s="229" t="s">
        <v>1912</v>
      </c>
      <c r="C169" t="str">
        <f t="shared" si="2"/>
        <v>PACIFIC SHOES AND BAGS IND LTD</v>
      </c>
      <c r="E169" t="s">
        <v>1912</v>
      </c>
    </row>
    <row r="170" spans="2:5">
      <c r="B170" s="229" t="s">
        <v>1846</v>
      </c>
      <c r="C170" t="str">
        <f t="shared" si="2"/>
        <v>LEEU FASHIONS LTD</v>
      </c>
      <c r="E170" t="s">
        <v>1846</v>
      </c>
    </row>
    <row r="171" spans="2:5">
      <c r="B171" s="229" t="s">
        <v>1427</v>
      </c>
      <c r="C171" t="str">
        <f t="shared" si="2"/>
        <v>LEEU FASHION LTD</v>
      </c>
      <c r="E171" t="s">
        <v>1427</v>
      </c>
    </row>
    <row r="172" spans="2:5">
      <c r="B172" s="229" t="s">
        <v>2038</v>
      </c>
      <c r="C172" t="str">
        <f t="shared" si="2"/>
        <v>TRUST FABRICS AND KNITING (PVT) LTD</v>
      </c>
      <c r="E172" t="s">
        <v>2031</v>
      </c>
    </row>
    <row r="173" spans="2:5">
      <c r="B173" s="229" t="s">
        <v>458</v>
      </c>
      <c r="C173" t="str">
        <f t="shared" si="2"/>
        <v>NEW BROTHER KNITWEAR LTD</v>
      </c>
      <c r="E173" t="s">
        <v>458</v>
      </c>
    </row>
    <row r="174" spans="2:5">
      <c r="B174" s="229" t="s">
        <v>377</v>
      </c>
      <c r="C174" t="str">
        <f t="shared" si="2"/>
        <v>SAAM BUSINESS PVT.LTD</v>
      </c>
      <c r="E174" t="s">
        <v>377</v>
      </c>
    </row>
    <row r="175" spans="2:5">
      <c r="B175" s="229" t="s">
        <v>2046</v>
      </c>
      <c r="C175" t="str">
        <f t="shared" si="2"/>
        <v>VISTA FIBERS</v>
      </c>
      <c r="E175" t="s">
        <v>2046</v>
      </c>
    </row>
    <row r="176" spans="2:5">
      <c r="B176" s="229" t="s">
        <v>2064</v>
      </c>
      <c r="C176" t="str">
        <f t="shared" si="2"/>
        <v>ZEAL TEXTILE LTD</v>
      </c>
      <c r="E176" t="s">
        <v>2064</v>
      </c>
    </row>
    <row r="177" spans="2:5">
      <c r="B177" s="229" t="s">
        <v>1582</v>
      </c>
      <c r="C177" t="str">
        <f t="shared" si="2"/>
        <v>BD SUGAR AND FOOD</v>
      </c>
      <c r="E177" t="s">
        <v>1582</v>
      </c>
    </row>
    <row r="178" spans="2:5">
      <c r="B178" s="229" t="s">
        <v>2010</v>
      </c>
      <c r="C178" t="str">
        <f t="shared" si="2"/>
        <v>SONALI FEBRICS AND TEXTILE MILLS LTD. (SWEATER UNIT)</v>
      </c>
      <c r="E178" t="s">
        <v>2010</v>
      </c>
    </row>
    <row r="179" spans="2:5">
      <c r="B179" s="229" t="s">
        <v>1622</v>
      </c>
      <c r="C179" t="str">
        <f t="shared" si="2"/>
        <v>MUTUAL CONCERN CORPORATION LTD</v>
      </c>
      <c r="E179" t="s">
        <v>1622</v>
      </c>
    </row>
    <row r="180" spans="2:5">
      <c r="B180" s="229" t="s">
        <v>126</v>
      </c>
      <c r="C180" t="str">
        <f t="shared" si="2"/>
        <v>ZAKIA COTTONTEX LTD</v>
      </c>
      <c r="E180" t="s">
        <v>126</v>
      </c>
    </row>
    <row r="181" spans="2:5">
      <c r="B181" s="229" t="s">
        <v>145</v>
      </c>
      <c r="C181" t="str">
        <f t="shared" si="2"/>
        <v>SWISS QUALITY LTD</v>
      </c>
      <c r="E181" t="s">
        <v>145</v>
      </c>
    </row>
    <row r="182" spans="2:5">
      <c r="B182" s="229" t="s">
        <v>144</v>
      </c>
      <c r="C182" t="str">
        <f t="shared" si="2"/>
        <v>TANZINA FASHION LTD</v>
      </c>
      <c r="E182" t="s">
        <v>144</v>
      </c>
    </row>
    <row r="183" spans="2:5">
      <c r="B183" s="229" t="s">
        <v>2031</v>
      </c>
      <c r="C183" t="str">
        <f t="shared" si="2"/>
        <v>TRUST FABRICS AND KNITING (PVT) LTD</v>
      </c>
      <c r="E183" t="s">
        <v>2031</v>
      </c>
    </row>
    <row r="184" spans="2:5">
      <c r="B184" s="229" t="s">
        <v>639</v>
      </c>
      <c r="C184" t="str">
        <f t="shared" si="2"/>
        <v>HORIZON FASHIONLTD</v>
      </c>
      <c r="E184" t="s">
        <v>639</v>
      </c>
    </row>
    <row r="185" spans="2:5">
      <c r="B185" s="229" t="s">
        <v>1907</v>
      </c>
      <c r="C185" t="str">
        <f t="shared" si="2"/>
        <v>PACIFIC SHOES &amp; BAGS IND LTD</v>
      </c>
      <c r="E185" t="s">
        <v>1590</v>
      </c>
    </row>
    <row r="186" spans="2:5">
      <c r="B186" s="229" t="s">
        <v>2031</v>
      </c>
      <c r="C186" t="str">
        <f t="shared" si="2"/>
        <v>TRUST FABRICS AND KNITING (PVT) LTD</v>
      </c>
      <c r="E186" t="s">
        <v>2031</v>
      </c>
    </row>
    <row r="187" spans="2:5">
      <c r="B187" s="229" t="s">
        <v>659</v>
      </c>
      <c r="C187" t="str">
        <f t="shared" si="2"/>
        <v>HORIZON FASHION LTD</v>
      </c>
      <c r="E187" t="s">
        <v>659</v>
      </c>
    </row>
    <row r="188" spans="2:5">
      <c r="B188" s="229" t="s">
        <v>634</v>
      </c>
      <c r="C188" t="str">
        <f t="shared" si="2"/>
        <v>PACIFIC FOOTWEAR INDUSTRY LTD</v>
      </c>
      <c r="E188" t="s">
        <v>2665</v>
      </c>
    </row>
    <row r="189" spans="2:5">
      <c r="B189" s="229" t="s">
        <v>666</v>
      </c>
      <c r="C189" t="str">
        <f t="shared" si="2"/>
        <v>PACIFIC FOOTWEAR INDUSTRIES LTD</v>
      </c>
      <c r="E189" t="s">
        <v>666</v>
      </c>
    </row>
    <row r="190" spans="2:5">
      <c r="B190" s="229" t="s">
        <v>2004</v>
      </c>
      <c r="C190" t="str">
        <f t="shared" si="2"/>
        <v>SONALI FEBRICS &amp; TEXTILE MILLS LTD</v>
      </c>
      <c r="E190" t="s">
        <v>2667</v>
      </c>
    </row>
    <row r="191" spans="2:5">
      <c r="B191" s="229" t="s">
        <v>682</v>
      </c>
      <c r="C191" t="str">
        <f t="shared" si="2"/>
        <v>YARA KNITWEAR LTD</v>
      </c>
      <c r="E191" t="s">
        <v>2668</v>
      </c>
    </row>
    <row r="192" spans="2:5">
      <c r="B192" s="229" t="s">
        <v>2004</v>
      </c>
      <c r="C192" t="str">
        <f t="shared" si="2"/>
        <v>SONALI FEBRICS &amp; TEXTILE MILLS LTD</v>
      </c>
      <c r="E192" t="s">
        <v>2667</v>
      </c>
    </row>
    <row r="193" spans="2:5">
      <c r="B193" s="229" t="s">
        <v>695</v>
      </c>
      <c r="C193" t="str">
        <f t="shared" si="2"/>
        <v>TTT LEATHER FOOTWEAR IND PVT LTD</v>
      </c>
      <c r="E193" t="s">
        <v>695</v>
      </c>
    </row>
    <row r="194" spans="2:5">
      <c r="B194" s="229" t="s">
        <v>2031</v>
      </c>
      <c r="C194" t="str">
        <f t="shared" si="2"/>
        <v>TRUST FABRICS AND KNITING (PVT) LTD</v>
      </c>
      <c r="E194" t="s">
        <v>2031</v>
      </c>
    </row>
    <row r="195" spans="2:5">
      <c r="B195" s="229" t="s">
        <v>1865</v>
      </c>
      <c r="C195" t="str">
        <f t="shared" si="2"/>
        <v>MAHID APPREALS LTD</v>
      </c>
      <c r="E195" t="s">
        <v>2666</v>
      </c>
    </row>
    <row r="196" spans="2:5">
      <c r="B196" s="229" t="s">
        <v>2584</v>
      </c>
      <c r="C196" t="str">
        <f t="shared" ref="C196:C230" si="3">UPPER(TRIM(B196))</f>
        <v>MUTUAL CONCERN CORPORATION LTD</v>
      </c>
      <c r="E196" t="s">
        <v>1622</v>
      </c>
    </row>
    <row r="197" spans="2:5">
      <c r="B197" s="229" t="s">
        <v>126</v>
      </c>
      <c r="C197" t="str">
        <f t="shared" si="3"/>
        <v>ZAKIA COTTONTEX LTD</v>
      </c>
      <c r="E197" t="s">
        <v>126</v>
      </c>
    </row>
    <row r="198" spans="2:5">
      <c r="B198" s="229" t="s">
        <v>1930</v>
      </c>
      <c r="C198" t="str">
        <f t="shared" si="3"/>
        <v>R R SPINNING &amp; COTTON MILLS LTD</v>
      </c>
      <c r="E198" t="s">
        <v>1930</v>
      </c>
    </row>
    <row r="199" spans="2:5">
      <c r="B199" s="229" t="s">
        <v>2585</v>
      </c>
      <c r="C199" t="str">
        <f t="shared" si="3"/>
        <v>ANTIM KNITTING DYEING AND FINISHING LTD</v>
      </c>
      <c r="E199" t="s">
        <v>1711</v>
      </c>
    </row>
    <row r="200" spans="2:5">
      <c r="B200" s="229" t="s">
        <v>1711</v>
      </c>
      <c r="C200" t="str">
        <f t="shared" si="3"/>
        <v>ANTIM KNITTING DYEING AND FINISHING LTD</v>
      </c>
      <c r="E200" t="s">
        <v>1711</v>
      </c>
    </row>
    <row r="201" spans="2:5">
      <c r="B201" s="229" t="s">
        <v>1797</v>
      </c>
      <c r="C201" t="str">
        <f t="shared" si="3"/>
        <v>FAY-MAX SWEATER COMPOSITE LTD</v>
      </c>
      <c r="E201" t="s">
        <v>1797</v>
      </c>
    </row>
    <row r="202" spans="2:5">
      <c r="B202" s="229" t="s">
        <v>1860</v>
      </c>
      <c r="C202" t="str">
        <f t="shared" si="3"/>
        <v>MAGPIE KNITWEAR LTD</v>
      </c>
      <c r="E202" t="s">
        <v>160</v>
      </c>
    </row>
    <row r="203" spans="2:5">
      <c r="B203" s="229" t="s">
        <v>1705</v>
      </c>
      <c r="C203" t="str">
        <f t="shared" si="3"/>
        <v>ADVANCED COMPOSITE TEXTILE LTD</v>
      </c>
      <c r="E203" t="s">
        <v>2669</v>
      </c>
    </row>
    <row r="204" spans="2:5">
      <c r="B204" s="229" t="s">
        <v>160</v>
      </c>
      <c r="C204" t="str">
        <f t="shared" si="3"/>
        <v>MAGPIE KNITWEAR LTD</v>
      </c>
      <c r="E204" t="s">
        <v>160</v>
      </c>
    </row>
    <row r="205" spans="2:5">
      <c r="B205" s="229" t="s">
        <v>159</v>
      </c>
      <c r="C205" t="str">
        <f t="shared" si="3"/>
        <v>MAGPIE COMPOSITE LTD</v>
      </c>
      <c r="E205" t="s">
        <v>159</v>
      </c>
    </row>
    <row r="206" spans="2:5">
      <c r="B206" s="229" t="s">
        <v>1872</v>
      </c>
      <c r="C206" t="str">
        <f t="shared" si="3"/>
        <v>MAKS NAHAR INT</v>
      </c>
      <c r="E206" t="s">
        <v>1872</v>
      </c>
    </row>
    <row r="207" spans="2:5">
      <c r="B207" s="229" t="s">
        <v>2587</v>
      </c>
      <c r="C207" t="str">
        <f t="shared" si="3"/>
        <v>MAGPIE COMPOSITE MILLS LTD</v>
      </c>
      <c r="E207" t="s">
        <v>1854</v>
      </c>
    </row>
    <row r="208" spans="2:5">
      <c r="B208" s="229" t="s">
        <v>1708</v>
      </c>
      <c r="C208" t="str">
        <f t="shared" si="3"/>
        <v>ANTIM KNIT COMPOSITE LTD</v>
      </c>
      <c r="E208" t="s">
        <v>1708</v>
      </c>
    </row>
    <row r="209" spans="2:5">
      <c r="B209" s="229" t="s">
        <v>2591</v>
      </c>
      <c r="C209" t="str">
        <f t="shared" si="3"/>
        <v>R R SWEATER LTD</v>
      </c>
      <c r="E209" t="s">
        <v>1936</v>
      </c>
    </row>
    <row r="210" spans="2:5">
      <c r="B210" s="229" t="s">
        <v>1547</v>
      </c>
      <c r="C210" t="str">
        <f t="shared" si="3"/>
        <v>ML THREAD LTD</v>
      </c>
      <c r="E210" t="s">
        <v>1428</v>
      </c>
    </row>
    <row r="211" spans="2:5">
      <c r="B211" s="229" t="s">
        <v>2594</v>
      </c>
      <c r="C211" t="str">
        <f t="shared" si="3"/>
        <v>ML THREAD LTD</v>
      </c>
      <c r="E211" t="s">
        <v>1428</v>
      </c>
    </row>
    <row r="212" spans="2:5">
      <c r="B212" s="229" t="s">
        <v>727</v>
      </c>
      <c r="C212" t="str">
        <f t="shared" si="3"/>
        <v>ANTIM KNIT &amp; DYING FACTORY LTD</v>
      </c>
      <c r="E212" t="s">
        <v>727</v>
      </c>
    </row>
    <row r="213" spans="2:5">
      <c r="B213" s="229" t="s">
        <v>2021</v>
      </c>
      <c r="C213" t="str">
        <f t="shared" si="3"/>
        <v>TEESTA SOLAR LTD</v>
      </c>
      <c r="E213" t="s">
        <v>2670</v>
      </c>
    </row>
    <row r="214" spans="2:5">
      <c r="B214" s="229" t="s">
        <v>1933</v>
      </c>
      <c r="C214" t="str">
        <f t="shared" si="3"/>
        <v>RR SPINNING &amp; COTTON MILLS LTD</v>
      </c>
      <c r="E214" t="s">
        <v>2671</v>
      </c>
    </row>
    <row r="215" spans="2:5">
      <c r="B215" s="229" t="s">
        <v>1734</v>
      </c>
      <c r="C215" t="str">
        <f t="shared" si="3"/>
        <v>BASHUNDHARA MULTI STEEL INDUSTRIES LTD</v>
      </c>
      <c r="E215" t="s">
        <v>1734</v>
      </c>
    </row>
    <row r="216" spans="2:5">
      <c r="B216" s="229" t="s">
        <v>1759</v>
      </c>
      <c r="C216" t="str">
        <f t="shared" si="3"/>
        <v>BUSHUNDHARA MULTI FOOD PRODUCTS LTD</v>
      </c>
      <c r="E216" t="s">
        <v>1759</v>
      </c>
    </row>
    <row r="217" spans="2:5">
      <c r="B217" s="229" t="s">
        <v>1789</v>
      </c>
      <c r="C217" t="str">
        <f t="shared" si="3"/>
        <v>ECO STAR APPAREL LTD</v>
      </c>
      <c r="E217" t="s">
        <v>1789</v>
      </c>
    </row>
    <row r="218" spans="2:5">
      <c r="B218" s="229" t="s">
        <v>1783</v>
      </c>
      <c r="C218" t="str">
        <f t="shared" si="3"/>
        <v>DRESDEN TEXTILES LTD</v>
      </c>
      <c r="E218" t="s">
        <v>614</v>
      </c>
    </row>
    <row r="219" spans="2:5">
      <c r="B219" s="229" t="s">
        <v>614</v>
      </c>
      <c r="C219" t="str">
        <f t="shared" si="3"/>
        <v>DRESDEN TEXTILES LTD</v>
      </c>
      <c r="E219" t="s">
        <v>614</v>
      </c>
    </row>
    <row r="220" spans="2:5">
      <c r="B220" s="229" t="s">
        <v>493</v>
      </c>
      <c r="C220" t="str">
        <f t="shared" si="3"/>
        <v>DRESDEN TEXTILE LTD</v>
      </c>
      <c r="E220" t="s">
        <v>493</v>
      </c>
    </row>
    <row r="221" spans="2:5">
      <c r="B221" s="229" t="s">
        <v>1783</v>
      </c>
      <c r="C221" t="str">
        <f t="shared" si="3"/>
        <v>DRESDEN TEXTILES LTD</v>
      </c>
      <c r="E221" t="s">
        <v>614</v>
      </c>
    </row>
    <row r="222" spans="2:5">
      <c r="B222" s="229" t="s">
        <v>1734</v>
      </c>
      <c r="C222" t="str">
        <f t="shared" si="3"/>
        <v>BASHUNDHARA MULTI STEEL INDUSTRIES LTD</v>
      </c>
      <c r="E222" t="s">
        <v>1734</v>
      </c>
    </row>
    <row r="223" spans="2:5">
      <c r="B223" s="229" t="s">
        <v>1999</v>
      </c>
      <c r="C223" t="str">
        <f t="shared" si="3"/>
        <v>SISTER DENIM-U-2</v>
      </c>
      <c r="E223" t="s">
        <v>1999</v>
      </c>
    </row>
    <row r="224" spans="2:5">
      <c r="B224" s="229" t="s">
        <v>1804</v>
      </c>
      <c r="C224" t="str">
        <f t="shared" si="3"/>
        <v>GPH ISHPAT LTD</v>
      </c>
      <c r="E224" t="s">
        <v>1804</v>
      </c>
    </row>
    <row r="225" spans="2:5">
      <c r="B225" s="229" t="s">
        <v>1857</v>
      </c>
      <c r="C225" t="str">
        <f t="shared" si="3"/>
        <v>MAGPIE COMPOSITE TEXTLE LTD</v>
      </c>
      <c r="E225" t="s">
        <v>2672</v>
      </c>
    </row>
    <row r="226" spans="2:5">
      <c r="B226" s="229" t="s">
        <v>1918</v>
      </c>
      <c r="C226" t="str">
        <f t="shared" si="3"/>
        <v>PARENTS APPARELS</v>
      </c>
      <c r="E226" t="s">
        <v>2673</v>
      </c>
    </row>
    <row r="227" spans="2:5">
      <c r="B227" s="229" t="s">
        <v>2650</v>
      </c>
      <c r="C227" t="str">
        <f t="shared" si="3"/>
        <v>ROAR FASHION BTB</v>
      </c>
      <c r="E227" t="s">
        <v>2650</v>
      </c>
    </row>
    <row r="228" spans="2:5">
      <c r="B228" s="229" t="s">
        <v>1872</v>
      </c>
      <c r="C228" t="str">
        <f t="shared" si="3"/>
        <v>MAKS NAHAR INT</v>
      </c>
      <c r="E228" t="s">
        <v>1872</v>
      </c>
    </row>
    <row r="229" spans="2:5">
      <c r="B229" s="229" t="s">
        <v>1734</v>
      </c>
      <c r="C229" t="str">
        <f t="shared" si="3"/>
        <v>BASHUNDHARA MULTI STEEL INDUSTRIES LTD</v>
      </c>
      <c r="E229" t="s">
        <v>1734</v>
      </c>
    </row>
    <row r="230" spans="2:5">
      <c r="B230" s="229" t="s">
        <v>1547</v>
      </c>
      <c r="C230" t="str">
        <f t="shared" si="3"/>
        <v>ML THREAD LTD</v>
      </c>
      <c r="E230" t="s">
        <v>1428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2:G165"/>
  <sheetViews>
    <sheetView workbookViewId="0">
      <selection activeCell="G2" sqref="G2:G165"/>
    </sheetView>
  </sheetViews>
  <sheetFormatPr defaultRowHeight="17.25"/>
  <cols>
    <col min="1" max="2" width="14.28515625" bestFit="1" customWidth="1"/>
    <col min="4" max="4" width="9.140625" style="245"/>
    <col min="5" max="5" width="13.7109375" style="198" bestFit="1" customWidth="1"/>
    <col min="7" max="7" width="29" bestFit="1" customWidth="1"/>
  </cols>
  <sheetData>
    <row r="2" spans="1:7" ht="34.5">
      <c r="A2" s="247" t="s">
        <v>2715</v>
      </c>
      <c r="B2" s="241" t="s">
        <v>1720</v>
      </c>
      <c r="C2" t="str">
        <f>RIGHT(B2,LEN(B2)-3)</f>
        <v>15/02</v>
      </c>
      <c r="D2" s="244" t="s">
        <v>406</v>
      </c>
      <c r="E2" s="242" t="str">
        <f t="shared" ref="E2:E33" si="0">A2 &amp; RIGHT(B2, LEN(B2)-3)</f>
        <v>বৈবাবি/বিটিবি/15/02</v>
      </c>
      <c r="F2" s="244" t="s">
        <v>406</v>
      </c>
      <c r="G2" s="243" t="str">
        <f>A2 &amp; D2</f>
        <v>বৈবাবি/বিটিবি/15/02</v>
      </c>
    </row>
    <row r="3" spans="1:7" ht="34.5">
      <c r="A3" s="247" t="s">
        <v>2715</v>
      </c>
      <c r="B3" s="241" t="s">
        <v>1718</v>
      </c>
      <c r="C3" t="str">
        <f t="shared" ref="C3:C66" si="1">RIGHT(B3,LEN(B3)-3)</f>
        <v>24/06</v>
      </c>
      <c r="D3" s="244" t="s">
        <v>408</v>
      </c>
      <c r="E3" s="242" t="str">
        <f t="shared" si="0"/>
        <v>বৈবাবি/বিটিবি/24/06</v>
      </c>
      <c r="F3" s="244" t="s">
        <v>408</v>
      </c>
      <c r="G3" s="246" t="str">
        <f t="shared" ref="G3:G66" si="2">A3 &amp; D3</f>
        <v>বৈবাবি/বিটিবি/24/06</v>
      </c>
    </row>
    <row r="4" spans="1:7" ht="34.5">
      <c r="A4" s="247" t="s">
        <v>2715</v>
      </c>
      <c r="B4" s="241" t="s">
        <v>1730</v>
      </c>
      <c r="C4" t="str">
        <f t="shared" si="1"/>
        <v>137/96</v>
      </c>
      <c r="D4" s="244" t="s">
        <v>326</v>
      </c>
      <c r="E4" s="242" t="str">
        <f t="shared" si="0"/>
        <v>বৈবাবি/বিটিবি/137/96</v>
      </c>
      <c r="F4" s="244" t="s">
        <v>326</v>
      </c>
      <c r="G4" s="246" t="str">
        <f t="shared" si="2"/>
        <v>বৈবাবি/বিটিবি/137/96</v>
      </c>
    </row>
    <row r="5" spans="1:7" ht="34.5">
      <c r="A5" s="247" t="s">
        <v>2715</v>
      </c>
      <c r="B5" s="241" t="s">
        <v>1732</v>
      </c>
      <c r="C5" t="str">
        <f t="shared" si="1"/>
        <v>03/04</v>
      </c>
      <c r="D5" s="244" t="s">
        <v>300</v>
      </c>
      <c r="E5" s="242" t="str">
        <f t="shared" si="0"/>
        <v>বৈবাবি/বিটিবি/03/04</v>
      </c>
      <c r="F5" s="244" t="s">
        <v>300</v>
      </c>
      <c r="G5" s="246" t="str">
        <f t="shared" si="2"/>
        <v>বৈবাবি/বিটিবি/03/04</v>
      </c>
    </row>
    <row r="6" spans="1:7" ht="34.5">
      <c r="A6" s="247" t="s">
        <v>2715</v>
      </c>
      <c r="B6" s="241" t="s">
        <v>1943</v>
      </c>
      <c r="C6" t="str">
        <f t="shared" si="1"/>
        <v>22/11</v>
      </c>
      <c r="D6" s="244" t="s">
        <v>2716</v>
      </c>
      <c r="E6" s="242" t="str">
        <f t="shared" si="0"/>
        <v>বৈবাবি/বিটিবি/22/11</v>
      </c>
      <c r="F6" s="244" t="s">
        <v>2716</v>
      </c>
      <c r="G6" s="246" t="str">
        <f t="shared" si="2"/>
        <v>বৈবাবি/বিটিবি/22/11</v>
      </c>
    </row>
    <row r="7" spans="1:7" ht="34.5">
      <c r="A7" s="247" t="s">
        <v>2715</v>
      </c>
      <c r="B7" s="241" t="s">
        <v>1700</v>
      </c>
      <c r="C7" t="str">
        <f t="shared" si="1"/>
        <v>26/12</v>
      </c>
      <c r="D7" s="244" t="s">
        <v>2717</v>
      </c>
      <c r="E7" s="242" t="str">
        <f t="shared" si="0"/>
        <v>বৈবাবি/বিটিবি/26/12</v>
      </c>
      <c r="F7" s="244" t="s">
        <v>2717</v>
      </c>
      <c r="G7" s="246" t="str">
        <f t="shared" si="2"/>
        <v>বৈবাবি/বিটিবি/26/12</v>
      </c>
    </row>
    <row r="8" spans="1:7" ht="34.5">
      <c r="A8" s="247" t="s">
        <v>2715</v>
      </c>
      <c r="B8" s="241" t="s">
        <v>2709</v>
      </c>
      <c r="C8" t="str">
        <f t="shared" si="1"/>
        <v>54/12</v>
      </c>
      <c r="D8" s="244" t="s">
        <v>2270</v>
      </c>
      <c r="E8" s="242" t="str">
        <f t="shared" si="0"/>
        <v>বৈবাবি/বিটিবি/54/12</v>
      </c>
      <c r="F8" s="244" t="s">
        <v>2270</v>
      </c>
      <c r="G8" s="246" t="str">
        <f t="shared" si="2"/>
        <v>বৈবাবি/বিটিবি/54/12</v>
      </c>
    </row>
    <row r="9" spans="1:7" ht="34.5">
      <c r="A9" s="247" t="s">
        <v>2715</v>
      </c>
      <c r="B9" s="241" t="s">
        <v>1751</v>
      </c>
      <c r="C9" t="str">
        <f t="shared" si="1"/>
        <v>06/02</v>
      </c>
      <c r="D9" s="244" t="s">
        <v>2718</v>
      </c>
      <c r="E9" s="242" t="str">
        <f t="shared" si="0"/>
        <v>বৈবাবি/বিটিবি/06/02</v>
      </c>
      <c r="F9" s="244" t="s">
        <v>2718</v>
      </c>
      <c r="G9" s="246" t="str">
        <f t="shared" si="2"/>
        <v>বৈবাবি/বিটিবি/06/02</v>
      </c>
    </row>
    <row r="10" spans="1:7" ht="34.5">
      <c r="A10" s="247" t="s">
        <v>2715</v>
      </c>
      <c r="B10" s="241" t="s">
        <v>1748</v>
      </c>
      <c r="C10" t="str">
        <f t="shared" si="1"/>
        <v>34/05</v>
      </c>
      <c r="D10" s="244" t="s">
        <v>365</v>
      </c>
      <c r="E10" s="242" t="str">
        <f t="shared" si="0"/>
        <v>বৈবাবি/বিটিবি/34/05</v>
      </c>
      <c r="F10" s="244" t="s">
        <v>365</v>
      </c>
      <c r="G10" s="246" t="str">
        <f t="shared" si="2"/>
        <v>বৈবাবি/বিটিবি/34/05</v>
      </c>
    </row>
    <row r="11" spans="1:7" ht="34.5">
      <c r="A11" s="247" t="s">
        <v>2715</v>
      </c>
      <c r="B11" s="241" t="s">
        <v>1777</v>
      </c>
      <c r="C11" t="str">
        <f t="shared" si="1"/>
        <v>24/93</v>
      </c>
      <c r="D11" s="244" t="s">
        <v>368</v>
      </c>
      <c r="E11" s="242" t="str">
        <f t="shared" si="0"/>
        <v>বৈবাবি/বিটিবি/24/93</v>
      </c>
      <c r="F11" s="244" t="s">
        <v>368</v>
      </c>
      <c r="G11" s="246" t="str">
        <f t="shared" si="2"/>
        <v>বৈবাবি/বিটিবি/24/93</v>
      </c>
    </row>
    <row r="12" spans="1:7" ht="34.5">
      <c r="A12" s="247" t="s">
        <v>2715</v>
      </c>
      <c r="B12" s="241" t="s">
        <v>1775</v>
      </c>
      <c r="C12" t="str">
        <f t="shared" si="1"/>
        <v>25/93</v>
      </c>
      <c r="D12" s="244" t="s">
        <v>370</v>
      </c>
      <c r="E12" s="242" t="str">
        <f t="shared" si="0"/>
        <v>বৈবাবি/বিটিবি/25/93</v>
      </c>
      <c r="F12" s="244" t="s">
        <v>370</v>
      </c>
      <c r="G12" s="246" t="str">
        <f t="shared" si="2"/>
        <v>বৈবাবি/বিটিবি/25/93</v>
      </c>
    </row>
    <row r="13" spans="1:7" ht="34.5">
      <c r="A13" s="247" t="s">
        <v>2715</v>
      </c>
      <c r="B13" s="241" t="s">
        <v>1767</v>
      </c>
      <c r="C13" t="str">
        <f t="shared" si="1"/>
        <v>20/04</v>
      </c>
      <c r="D13" s="244" t="s">
        <v>413</v>
      </c>
      <c r="E13" s="242" t="str">
        <f t="shared" si="0"/>
        <v>বৈবাবি/বিটিবি/20/04</v>
      </c>
      <c r="F13" s="244" t="s">
        <v>413</v>
      </c>
      <c r="G13" s="246" t="str">
        <f t="shared" si="2"/>
        <v>বৈবাবি/বিটিবি/20/04</v>
      </c>
    </row>
    <row r="14" spans="1:7" ht="34.5">
      <c r="A14" s="247" t="s">
        <v>2715</v>
      </c>
      <c r="B14" s="241" t="s">
        <v>1765</v>
      </c>
      <c r="C14" t="str">
        <f t="shared" si="1"/>
        <v>07/05</v>
      </c>
      <c r="D14" s="244" t="s">
        <v>415</v>
      </c>
      <c r="E14" s="242" t="str">
        <f t="shared" si="0"/>
        <v>বৈবাবি/বিটিবি/07/05</v>
      </c>
      <c r="F14" s="244" t="s">
        <v>415</v>
      </c>
      <c r="G14" s="246" t="str">
        <f t="shared" si="2"/>
        <v>বৈবাবি/বিটিবি/07/05</v>
      </c>
    </row>
    <row r="15" spans="1:7" ht="34.5">
      <c r="A15" s="247" t="s">
        <v>2715</v>
      </c>
      <c r="B15" s="241" t="s">
        <v>1768</v>
      </c>
      <c r="C15" t="str">
        <f t="shared" si="1"/>
        <v>22/05</v>
      </c>
      <c r="D15" s="244" t="s">
        <v>417</v>
      </c>
      <c r="E15" s="242" t="str">
        <f t="shared" si="0"/>
        <v>বৈবাবি/বিটিবি/22/05</v>
      </c>
      <c r="F15" s="244" t="s">
        <v>417</v>
      </c>
      <c r="G15" s="246" t="str">
        <f t="shared" si="2"/>
        <v>বৈবাবি/বিটিবি/22/05</v>
      </c>
    </row>
    <row r="16" spans="1:7" ht="34.5">
      <c r="A16" s="247" t="s">
        <v>2715</v>
      </c>
      <c r="B16" s="241" t="s">
        <v>1762</v>
      </c>
      <c r="C16" t="str">
        <f t="shared" si="1"/>
        <v>47/05</v>
      </c>
      <c r="D16" s="244" t="s">
        <v>419</v>
      </c>
      <c r="E16" s="242" t="str">
        <f t="shared" si="0"/>
        <v>বৈবাবি/বিটিবি/47/05</v>
      </c>
      <c r="F16" s="244" t="s">
        <v>419</v>
      </c>
      <c r="G16" s="246" t="str">
        <f t="shared" si="2"/>
        <v>বৈবাবি/বিটিবি/47/05</v>
      </c>
    </row>
    <row r="17" spans="1:7" ht="34.5">
      <c r="A17" s="247" t="s">
        <v>2715</v>
      </c>
      <c r="B17" s="241" t="s">
        <v>1772</v>
      </c>
      <c r="C17" t="str">
        <f t="shared" si="1"/>
        <v>48/05</v>
      </c>
      <c r="D17" s="244" t="s">
        <v>420</v>
      </c>
      <c r="E17" s="242" t="str">
        <f t="shared" si="0"/>
        <v>বৈবাবি/বিটিবি/48/05</v>
      </c>
      <c r="F17" s="244" t="s">
        <v>420</v>
      </c>
      <c r="G17" s="246" t="str">
        <f t="shared" si="2"/>
        <v>বৈবাবি/বিটিবি/48/05</v>
      </c>
    </row>
    <row r="18" spans="1:7" ht="34.5">
      <c r="A18" s="247" t="s">
        <v>2715</v>
      </c>
      <c r="B18" s="241" t="s">
        <v>1770</v>
      </c>
      <c r="C18" t="str">
        <f t="shared" si="1"/>
        <v>49/05</v>
      </c>
      <c r="D18" s="244" t="s">
        <v>421</v>
      </c>
      <c r="E18" s="242" t="str">
        <f t="shared" si="0"/>
        <v>বৈবাবি/বিটিবি/49/05</v>
      </c>
      <c r="F18" s="244" t="s">
        <v>421</v>
      </c>
      <c r="G18" s="246" t="str">
        <f t="shared" si="2"/>
        <v>বৈবাবি/বিটিবি/49/05</v>
      </c>
    </row>
    <row r="19" spans="1:7" ht="34.5">
      <c r="A19" s="247" t="s">
        <v>2715</v>
      </c>
      <c r="B19" s="241" t="s">
        <v>2710</v>
      </c>
      <c r="C19" t="str">
        <f t="shared" si="1"/>
        <v>17/02</v>
      </c>
      <c r="D19" s="244" t="s">
        <v>362</v>
      </c>
      <c r="E19" s="242" t="str">
        <f t="shared" si="0"/>
        <v>বৈবাবি/বিটিবি/17/02</v>
      </c>
      <c r="F19" s="244" t="s">
        <v>362</v>
      </c>
      <c r="G19" s="246" t="str">
        <f t="shared" si="2"/>
        <v>বৈবাবি/বিটিবি/17/02</v>
      </c>
    </row>
    <row r="20" spans="1:7" ht="34.5">
      <c r="A20" s="247" t="s">
        <v>2715</v>
      </c>
      <c r="B20" s="241" t="s">
        <v>2711</v>
      </c>
      <c r="C20" t="str">
        <f t="shared" si="1"/>
        <v>37/94</v>
      </c>
      <c r="D20" s="244" t="s">
        <v>462</v>
      </c>
      <c r="E20" s="242" t="str">
        <f t="shared" si="0"/>
        <v>বৈবাবি/বিটিবি/37/94</v>
      </c>
      <c r="F20" s="244" t="s">
        <v>462</v>
      </c>
      <c r="G20" s="246" t="str">
        <f t="shared" si="2"/>
        <v>বৈবাবি/বিটিবি/37/94</v>
      </c>
    </row>
    <row r="21" spans="1:7" ht="34.5">
      <c r="A21" s="247" t="s">
        <v>2715</v>
      </c>
      <c r="B21" s="241" t="s">
        <v>1795</v>
      </c>
      <c r="C21" t="str">
        <f t="shared" si="1"/>
        <v>52/95</v>
      </c>
      <c r="D21" s="244" t="s">
        <v>464</v>
      </c>
      <c r="E21" s="242" t="str">
        <f t="shared" si="0"/>
        <v>বৈবাবি/বিটিবি/52/95</v>
      </c>
      <c r="F21" s="244" t="s">
        <v>464</v>
      </c>
      <c r="G21" s="246" t="str">
        <f t="shared" si="2"/>
        <v>বৈবাবি/বিটিবি/52/95</v>
      </c>
    </row>
    <row r="22" spans="1:7" ht="34.5">
      <c r="A22" s="247" t="s">
        <v>2715</v>
      </c>
      <c r="B22" s="241" t="s">
        <v>2655</v>
      </c>
      <c r="C22" t="str">
        <f t="shared" si="1"/>
        <v>155/96</v>
      </c>
      <c r="D22" s="244" t="s">
        <v>466</v>
      </c>
      <c r="E22" s="242" t="str">
        <f t="shared" si="0"/>
        <v>বৈবাবি/বিটিবি/155/96</v>
      </c>
      <c r="F22" s="244" t="s">
        <v>466</v>
      </c>
      <c r="G22" s="246" t="str">
        <f t="shared" si="2"/>
        <v>বৈবাবি/বিটিবি/155/96</v>
      </c>
    </row>
    <row r="23" spans="1:7" ht="34.5">
      <c r="A23" s="247" t="s">
        <v>2715</v>
      </c>
      <c r="B23" s="241" t="s">
        <v>1807</v>
      </c>
      <c r="C23" t="str">
        <f t="shared" si="1"/>
        <v>150/96</v>
      </c>
      <c r="D23" s="244" t="s">
        <v>340</v>
      </c>
      <c r="E23" s="242" t="str">
        <f t="shared" si="0"/>
        <v>বৈবাবি/বিটিবি/150/96</v>
      </c>
      <c r="F23" s="244" t="s">
        <v>340</v>
      </c>
      <c r="G23" s="246" t="str">
        <f t="shared" si="2"/>
        <v>বৈবাবি/বিটিবি/150/96</v>
      </c>
    </row>
    <row r="24" spans="1:7" ht="34.5">
      <c r="A24" s="247" t="s">
        <v>2715</v>
      </c>
      <c r="B24" s="241" t="s">
        <v>1822</v>
      </c>
      <c r="C24" t="str">
        <f t="shared" si="1"/>
        <v>15/07</v>
      </c>
      <c r="D24" s="244" t="s">
        <v>449</v>
      </c>
      <c r="E24" s="242" t="str">
        <f t="shared" si="0"/>
        <v>বৈবাবি/বিটিবি/15/07</v>
      </c>
      <c r="F24" s="244" t="s">
        <v>449</v>
      </c>
      <c r="G24" s="246" t="str">
        <f t="shared" si="2"/>
        <v>বৈবাবি/বিটিবি/15/07</v>
      </c>
    </row>
    <row r="25" spans="1:7" ht="34.5">
      <c r="A25" s="247" t="s">
        <v>2715</v>
      </c>
      <c r="B25" s="241" t="s">
        <v>1820</v>
      </c>
      <c r="C25" t="str">
        <f t="shared" si="1"/>
        <v>36/12</v>
      </c>
      <c r="D25" s="244" t="s">
        <v>450</v>
      </c>
      <c r="E25" s="242" t="str">
        <f t="shared" si="0"/>
        <v>বৈবাবি/বিটিবি/36/12</v>
      </c>
      <c r="F25" s="244" t="s">
        <v>450</v>
      </c>
      <c r="G25" s="246" t="str">
        <f t="shared" si="2"/>
        <v>বৈবাবি/বিটিবি/36/12</v>
      </c>
    </row>
    <row r="26" spans="1:7" ht="34.5">
      <c r="A26" s="247" t="s">
        <v>2715</v>
      </c>
      <c r="B26" s="241" t="s">
        <v>1824</v>
      </c>
      <c r="C26" t="str">
        <f t="shared" si="1"/>
        <v>64/12</v>
      </c>
      <c r="D26" s="244" t="s">
        <v>451</v>
      </c>
      <c r="E26" s="242" t="str">
        <f t="shared" si="0"/>
        <v>বৈবাবি/বিটিবি/64/12</v>
      </c>
      <c r="F26" s="244" t="s">
        <v>451</v>
      </c>
      <c r="G26" s="246" t="str">
        <f t="shared" si="2"/>
        <v>বৈবাবি/বিটিবি/64/12</v>
      </c>
    </row>
    <row r="27" spans="1:7" ht="34.5">
      <c r="A27" s="247" t="s">
        <v>2715</v>
      </c>
      <c r="B27" s="241" t="s">
        <v>1827</v>
      </c>
      <c r="C27" t="str">
        <f t="shared" si="1"/>
        <v>162/97</v>
      </c>
      <c r="D27" s="244" t="s">
        <v>3</v>
      </c>
      <c r="E27" s="242" t="str">
        <f t="shared" si="0"/>
        <v>বৈবাবি/বিটিবি/162/97</v>
      </c>
      <c r="F27" s="244" t="s">
        <v>3</v>
      </c>
      <c r="G27" s="246" t="str">
        <f t="shared" si="2"/>
        <v>বৈবাবি/বিটিবি/162/97</v>
      </c>
    </row>
    <row r="28" spans="1:7" ht="34.5">
      <c r="A28" s="247" t="s">
        <v>2715</v>
      </c>
      <c r="B28" s="241" t="s">
        <v>1850</v>
      </c>
      <c r="C28" t="str">
        <f t="shared" si="1"/>
        <v>185/97</v>
      </c>
      <c r="D28" s="244" t="s">
        <v>343</v>
      </c>
      <c r="E28" s="242" t="str">
        <f t="shared" si="0"/>
        <v>বৈবাবি/বিটিবি/185/97</v>
      </c>
      <c r="F28" s="244" t="s">
        <v>343</v>
      </c>
      <c r="G28" s="246" t="str">
        <f t="shared" si="2"/>
        <v>বৈবাবি/বিটিবি/185/97</v>
      </c>
    </row>
    <row r="29" spans="1:7" ht="34.5">
      <c r="A29" s="247" t="s">
        <v>2715</v>
      </c>
      <c r="B29" s="241" t="s">
        <v>1886</v>
      </c>
      <c r="C29" t="str">
        <f t="shared" si="1"/>
        <v>31/04</v>
      </c>
      <c r="D29" s="244" t="s">
        <v>431</v>
      </c>
      <c r="E29" s="242" t="str">
        <f t="shared" si="0"/>
        <v>বৈবাবি/বিটিবি/31/04</v>
      </c>
      <c r="F29" s="244" t="s">
        <v>431</v>
      </c>
      <c r="G29" s="246" t="str">
        <f t="shared" si="2"/>
        <v>বৈবাবি/বিটিবি/31/04</v>
      </c>
    </row>
    <row r="30" spans="1:7" ht="34.5">
      <c r="A30" s="247" t="s">
        <v>2715</v>
      </c>
      <c r="B30" s="241" t="s">
        <v>1878</v>
      </c>
      <c r="C30" t="str">
        <f t="shared" si="1"/>
        <v>11/92</v>
      </c>
      <c r="D30" s="244" t="s">
        <v>433</v>
      </c>
      <c r="E30" s="242" t="str">
        <f t="shared" si="0"/>
        <v>বৈবাবি/বিটিবি/11/92</v>
      </c>
      <c r="F30" s="244" t="s">
        <v>433</v>
      </c>
      <c r="G30" s="246" t="str">
        <f t="shared" si="2"/>
        <v>বৈবাবি/বিটিবি/11/92</v>
      </c>
    </row>
    <row r="31" spans="1:7" ht="34.5">
      <c r="A31" s="247" t="s">
        <v>2715</v>
      </c>
      <c r="B31" s="241" t="s">
        <v>1882</v>
      </c>
      <c r="C31" t="str">
        <f t="shared" si="1"/>
        <v>204/97</v>
      </c>
      <c r="D31" s="244" t="s">
        <v>435</v>
      </c>
      <c r="E31" s="242" t="str">
        <f t="shared" si="0"/>
        <v>বৈবাবি/বিটিবি/204/97</v>
      </c>
      <c r="F31" s="244" t="s">
        <v>435</v>
      </c>
      <c r="G31" s="246" t="str">
        <f t="shared" si="2"/>
        <v>বৈবাবি/বিটিবি/204/97</v>
      </c>
    </row>
    <row r="32" spans="1:7" ht="34.5">
      <c r="A32" s="247" t="s">
        <v>2715</v>
      </c>
      <c r="B32" s="241" t="s">
        <v>1879</v>
      </c>
      <c r="C32" t="str">
        <f t="shared" si="1"/>
        <v>04/98</v>
      </c>
      <c r="D32" s="244" t="s">
        <v>2719</v>
      </c>
      <c r="E32" s="242" t="str">
        <f t="shared" si="0"/>
        <v>বৈবাবি/বিটিবি/04/98</v>
      </c>
      <c r="F32" s="244" t="s">
        <v>2719</v>
      </c>
      <c r="G32" s="246" t="str">
        <f t="shared" si="2"/>
        <v>বৈবাবি/বিটিবি/04/98</v>
      </c>
    </row>
    <row r="33" spans="1:7" ht="34.5">
      <c r="A33" s="247" t="s">
        <v>2715</v>
      </c>
      <c r="B33" s="241" t="s">
        <v>2712</v>
      </c>
      <c r="C33" t="str">
        <f t="shared" si="1"/>
        <v>9/98</v>
      </c>
      <c r="D33" s="244" t="s">
        <v>438</v>
      </c>
      <c r="E33" s="242" t="str">
        <f t="shared" si="0"/>
        <v>বৈবাবি/বিটিবি/9/98</v>
      </c>
      <c r="F33" s="244" t="s">
        <v>438</v>
      </c>
      <c r="G33" s="246" t="str">
        <f t="shared" si="2"/>
        <v>বৈবাবি/বিটিবি/9/98</v>
      </c>
    </row>
    <row r="34" spans="1:7" ht="34.5">
      <c r="A34" s="247" t="s">
        <v>2715</v>
      </c>
      <c r="B34" s="241" t="s">
        <v>1779</v>
      </c>
      <c r="C34" t="str">
        <f t="shared" si="1"/>
        <v>17/04</v>
      </c>
      <c r="D34" s="244" t="s">
        <v>2304</v>
      </c>
      <c r="E34" s="242" t="str">
        <f t="shared" ref="E34:E65" si="3">A34 &amp; RIGHT(B34, LEN(B34)-3)</f>
        <v>বৈবাবি/বিটিবি/17/04</v>
      </c>
      <c r="F34" s="244" t="s">
        <v>2304</v>
      </c>
      <c r="G34" s="246" t="str">
        <f t="shared" si="2"/>
        <v>বৈবাবি/বিটিবি/17/04</v>
      </c>
    </row>
    <row r="35" spans="1:7" ht="34.5">
      <c r="A35" s="247" t="s">
        <v>2715</v>
      </c>
      <c r="B35" s="240" t="s">
        <v>1998</v>
      </c>
      <c r="C35" t="str">
        <f t="shared" si="1"/>
        <v>19/04</v>
      </c>
      <c r="D35" s="244" t="s">
        <v>393</v>
      </c>
      <c r="E35" s="242" t="str">
        <f t="shared" si="3"/>
        <v>বৈবাবি/বিটিবি/19/04</v>
      </c>
      <c r="F35" s="244" t="s">
        <v>393</v>
      </c>
      <c r="G35" s="246" t="str">
        <f t="shared" si="2"/>
        <v>বৈবাবি/বিটিবি/19/04</v>
      </c>
    </row>
    <row r="36" spans="1:7" ht="34.5">
      <c r="A36" s="247" t="s">
        <v>2715</v>
      </c>
      <c r="B36" s="235" t="s">
        <v>1976</v>
      </c>
      <c r="C36" t="str">
        <f t="shared" si="1"/>
        <v>04/07</v>
      </c>
      <c r="D36" s="244" t="s">
        <v>356</v>
      </c>
      <c r="E36" s="242" t="str">
        <f t="shared" si="3"/>
        <v>বৈবাবি/বিটিবি/04/07</v>
      </c>
      <c r="F36" s="244" t="s">
        <v>356</v>
      </c>
      <c r="G36" s="246" t="str">
        <f t="shared" si="2"/>
        <v>বৈবাবি/বিটিবি/04/07</v>
      </c>
    </row>
    <row r="37" spans="1:7" ht="34.5">
      <c r="A37" s="247" t="s">
        <v>2715</v>
      </c>
      <c r="B37" s="235" t="s">
        <v>1955</v>
      </c>
      <c r="C37" t="str">
        <f t="shared" si="1"/>
        <v>142/96</v>
      </c>
      <c r="D37" s="244" t="s">
        <v>380</v>
      </c>
      <c r="E37" s="242" t="str">
        <f t="shared" si="3"/>
        <v>বৈবাবি/বিটিবি/142/96</v>
      </c>
      <c r="F37" s="244" t="s">
        <v>380</v>
      </c>
      <c r="G37" s="246" t="str">
        <f t="shared" si="2"/>
        <v>বৈবাবি/বিটিবি/142/96</v>
      </c>
    </row>
    <row r="38" spans="1:7" ht="34.5">
      <c r="A38" s="247" t="s">
        <v>2715</v>
      </c>
      <c r="B38" s="235" t="s">
        <v>1957</v>
      </c>
      <c r="C38" t="str">
        <f t="shared" si="1"/>
        <v>156/96</v>
      </c>
      <c r="D38" s="244" t="s">
        <v>382</v>
      </c>
      <c r="E38" s="242" t="str">
        <f t="shared" si="3"/>
        <v>বৈবাবি/বিটিবি/156/96</v>
      </c>
      <c r="F38" s="244" t="s">
        <v>382</v>
      </c>
      <c r="G38" s="246" t="str">
        <f t="shared" si="2"/>
        <v>বৈবাবি/বিটিবি/156/96</v>
      </c>
    </row>
    <row r="39" spans="1:7" ht="34.5">
      <c r="A39" s="247" t="s">
        <v>2715</v>
      </c>
      <c r="B39" s="235" t="s">
        <v>1958</v>
      </c>
      <c r="C39" t="str">
        <f t="shared" si="1"/>
        <v>19/98</v>
      </c>
      <c r="D39" s="244" t="s">
        <v>384</v>
      </c>
      <c r="E39" s="242" t="str">
        <f t="shared" si="3"/>
        <v>বৈবাবি/বিটিবি/19/98</v>
      </c>
      <c r="F39" s="244" t="s">
        <v>384</v>
      </c>
      <c r="G39" s="246" t="str">
        <f t="shared" si="2"/>
        <v>বৈবাবি/বিটিবি/19/98</v>
      </c>
    </row>
    <row r="40" spans="1:7" ht="34.5">
      <c r="A40" s="247" t="s">
        <v>2715</v>
      </c>
      <c r="B40" s="235" t="s">
        <v>1961</v>
      </c>
      <c r="C40" t="str">
        <f t="shared" si="1"/>
        <v>26/98</v>
      </c>
      <c r="D40" s="244" t="s">
        <v>385</v>
      </c>
      <c r="E40" s="242" t="str">
        <f t="shared" si="3"/>
        <v>বৈবাবি/বিটিবি/26/98</v>
      </c>
      <c r="F40" s="244" t="s">
        <v>385</v>
      </c>
      <c r="G40" s="246" t="str">
        <f t="shared" si="2"/>
        <v>বৈবাবি/বিটিবি/26/98</v>
      </c>
    </row>
    <row r="41" spans="1:7" ht="34.5">
      <c r="A41" s="247" t="s">
        <v>2715</v>
      </c>
      <c r="B41" s="235" t="s">
        <v>1950</v>
      </c>
      <c r="C41" t="str">
        <f t="shared" si="1"/>
        <v>05/98</v>
      </c>
      <c r="D41" s="244" t="s">
        <v>2720</v>
      </c>
      <c r="E41" s="242" t="str">
        <f t="shared" si="3"/>
        <v>বৈবাবি/বিটিবি/05/98</v>
      </c>
      <c r="F41" s="244" t="s">
        <v>2720</v>
      </c>
      <c r="G41" s="246" t="str">
        <f t="shared" si="2"/>
        <v>বৈবাবি/বিটিবি/05/98</v>
      </c>
    </row>
    <row r="42" spans="1:7" ht="34.5">
      <c r="A42" s="247" t="s">
        <v>2715</v>
      </c>
      <c r="B42" s="235" t="s">
        <v>1952</v>
      </c>
      <c r="C42" t="str">
        <f t="shared" si="1"/>
        <v>09/02</v>
      </c>
      <c r="D42" s="244" t="s">
        <v>2721</v>
      </c>
      <c r="E42" s="242" t="str">
        <f t="shared" si="3"/>
        <v>বৈবাবি/বিটিবি/09/02</v>
      </c>
      <c r="F42" s="244" t="s">
        <v>2721</v>
      </c>
      <c r="G42" s="246" t="str">
        <f t="shared" si="2"/>
        <v>বৈবাবি/বিটিবি/09/02</v>
      </c>
    </row>
    <row r="43" spans="1:7" ht="34.5">
      <c r="A43" s="247" t="s">
        <v>2715</v>
      </c>
      <c r="B43" s="235" t="s">
        <v>1963</v>
      </c>
      <c r="C43" t="str">
        <f t="shared" si="1"/>
        <v>48/95</v>
      </c>
      <c r="D43" s="244" t="s">
        <v>390</v>
      </c>
      <c r="E43" s="242" t="str">
        <f t="shared" si="3"/>
        <v>বৈবাবি/বিটিবি/48/95</v>
      </c>
      <c r="F43" s="244" t="s">
        <v>390</v>
      </c>
      <c r="G43" s="246" t="str">
        <f t="shared" si="2"/>
        <v>বৈবাবি/বিটিবি/48/95</v>
      </c>
    </row>
    <row r="44" spans="1:7" ht="34.5">
      <c r="A44" s="247" t="s">
        <v>2715</v>
      </c>
      <c r="B44" s="235" t="s">
        <v>2002</v>
      </c>
      <c r="C44" t="str">
        <f t="shared" si="1"/>
        <v>67/12</v>
      </c>
      <c r="D44" s="244" t="s">
        <v>2316</v>
      </c>
      <c r="E44" s="242" t="str">
        <f t="shared" si="3"/>
        <v>বৈবাবি/বিটিবি/67/12</v>
      </c>
      <c r="F44" s="244" t="s">
        <v>2316</v>
      </c>
      <c r="G44" s="246" t="str">
        <f t="shared" si="2"/>
        <v>বৈবাবি/বিটিবি/67/12</v>
      </c>
    </row>
    <row r="45" spans="1:7" ht="34.5">
      <c r="A45" s="247" t="s">
        <v>2715</v>
      </c>
      <c r="B45" s="235" t="s">
        <v>1996</v>
      </c>
      <c r="C45" t="str">
        <f t="shared" si="1"/>
        <v>11/05</v>
      </c>
      <c r="D45" s="244" t="s">
        <v>396</v>
      </c>
      <c r="E45" s="242" t="str">
        <f t="shared" si="3"/>
        <v>বৈবাবি/বিটিবি/11/05</v>
      </c>
      <c r="F45" s="244" t="s">
        <v>396</v>
      </c>
      <c r="G45" s="246" t="str">
        <f t="shared" si="2"/>
        <v>বৈবাবি/বিটিবি/11/05</v>
      </c>
    </row>
    <row r="46" spans="1:7" ht="34.5">
      <c r="A46" s="247" t="s">
        <v>2715</v>
      </c>
      <c r="B46" s="235" t="s">
        <v>2025</v>
      </c>
      <c r="C46" t="str">
        <f t="shared" si="1"/>
        <v>189/97</v>
      </c>
      <c r="D46" s="244" t="s">
        <v>353</v>
      </c>
      <c r="E46" s="242" t="str">
        <f t="shared" si="3"/>
        <v>বৈবাবি/বিটিবি/189/97</v>
      </c>
      <c r="F46" s="244" t="s">
        <v>353</v>
      </c>
      <c r="G46" s="246" t="str">
        <f t="shared" si="2"/>
        <v>বৈবাবি/বিটিবি/189/97</v>
      </c>
    </row>
    <row r="47" spans="1:7" ht="34.5">
      <c r="A47" s="247" t="s">
        <v>2715</v>
      </c>
      <c r="B47" s="235" t="s">
        <v>2029</v>
      </c>
      <c r="C47" t="str">
        <f t="shared" si="1"/>
        <v>07/88</v>
      </c>
      <c r="D47" s="244" t="s">
        <v>2722</v>
      </c>
      <c r="E47" s="242" t="str">
        <f t="shared" si="3"/>
        <v>বৈবাবি/বিটিবি/07/88</v>
      </c>
      <c r="F47" s="244" t="s">
        <v>2722</v>
      </c>
      <c r="G47" s="246" t="str">
        <f t="shared" si="2"/>
        <v>বৈবাবি/বিটিবি/07/88</v>
      </c>
    </row>
    <row r="48" spans="1:7" ht="34.5">
      <c r="A48" s="247" t="s">
        <v>2715</v>
      </c>
      <c r="B48" s="235" t="s">
        <v>2027</v>
      </c>
      <c r="C48" t="str">
        <f t="shared" si="1"/>
        <v>22/91</v>
      </c>
      <c r="D48" s="244" t="s">
        <v>400</v>
      </c>
      <c r="E48" s="242" t="str">
        <f t="shared" si="3"/>
        <v>বৈবাবি/বিটিবি/22/91</v>
      </c>
      <c r="F48" s="244" t="s">
        <v>400</v>
      </c>
      <c r="G48" s="246" t="str">
        <f t="shared" si="2"/>
        <v>বৈবাবি/বিটিবি/22/91</v>
      </c>
    </row>
    <row r="49" spans="1:7" ht="34.5">
      <c r="A49" s="247" t="s">
        <v>2715</v>
      </c>
      <c r="B49" s="235" t="s">
        <v>2043</v>
      </c>
      <c r="C49" t="str">
        <f t="shared" si="1"/>
        <v>29/04</v>
      </c>
      <c r="D49" s="244" t="s">
        <v>2723</v>
      </c>
      <c r="E49" s="242" t="str">
        <f t="shared" si="3"/>
        <v>বৈবাবি/বিটিবি/29/04</v>
      </c>
      <c r="F49" s="244" t="s">
        <v>2723</v>
      </c>
      <c r="G49" s="246" t="str">
        <f t="shared" si="2"/>
        <v>বৈবাবি/বিটিবি/29/04</v>
      </c>
    </row>
    <row r="50" spans="1:7" ht="34.5">
      <c r="A50" s="247" t="s">
        <v>2715</v>
      </c>
      <c r="B50" s="235" t="s">
        <v>2044</v>
      </c>
      <c r="C50" t="str">
        <f t="shared" si="1"/>
        <v>24/04</v>
      </c>
      <c r="D50" s="244" t="s">
        <v>403</v>
      </c>
      <c r="E50" s="242" t="str">
        <f t="shared" si="3"/>
        <v>বৈবাবি/বিটিবি/24/04</v>
      </c>
      <c r="F50" s="244" t="s">
        <v>403</v>
      </c>
      <c r="G50" s="246" t="str">
        <f t="shared" si="2"/>
        <v>বৈবাবি/বিটিবি/24/04</v>
      </c>
    </row>
    <row r="51" spans="1:7" ht="34.5">
      <c r="A51" s="247" t="s">
        <v>2715</v>
      </c>
      <c r="B51" s="235" t="s">
        <v>1970</v>
      </c>
      <c r="C51" t="str">
        <f t="shared" si="1"/>
        <v>20/08</v>
      </c>
      <c r="D51" s="244" t="s">
        <v>443</v>
      </c>
      <c r="E51" s="242" t="str">
        <f t="shared" si="3"/>
        <v>বৈবাবি/বিটিবি/20/08</v>
      </c>
      <c r="F51" s="244" t="s">
        <v>443</v>
      </c>
      <c r="G51" s="246" t="str">
        <f t="shared" si="2"/>
        <v>বৈবাবি/বিটিবি/20/08</v>
      </c>
    </row>
    <row r="52" spans="1:7" ht="34.5">
      <c r="A52" s="247" t="s">
        <v>2715</v>
      </c>
      <c r="B52" s="235" t="s">
        <v>1972</v>
      </c>
      <c r="C52" t="str">
        <f t="shared" si="1"/>
        <v>21/08</v>
      </c>
      <c r="D52" s="244" t="s">
        <v>444</v>
      </c>
      <c r="E52" s="242" t="str">
        <f t="shared" si="3"/>
        <v>বৈবাবি/বিটিবি/21/08</v>
      </c>
      <c r="F52" s="244" t="s">
        <v>444</v>
      </c>
      <c r="G52" s="246" t="str">
        <f t="shared" si="2"/>
        <v>বৈবাবি/বিটিবি/21/08</v>
      </c>
    </row>
    <row r="53" spans="1:7" ht="34.5">
      <c r="A53" s="247" t="s">
        <v>2715</v>
      </c>
      <c r="B53" s="235" t="s">
        <v>1973</v>
      </c>
      <c r="C53" t="str">
        <f t="shared" si="1"/>
        <v>22/08</v>
      </c>
      <c r="D53" s="244" t="s">
        <v>446</v>
      </c>
      <c r="E53" s="242" t="str">
        <f t="shared" si="3"/>
        <v>বৈবাবি/বিটিবি/22/08</v>
      </c>
      <c r="F53" s="244" t="s">
        <v>446</v>
      </c>
      <c r="G53" s="246" t="str">
        <f t="shared" si="2"/>
        <v>বৈবাবি/বিটিবি/22/08</v>
      </c>
    </row>
    <row r="54" spans="1:7" ht="34.5">
      <c r="A54" s="247" t="s">
        <v>2715</v>
      </c>
      <c r="B54" s="235" t="s">
        <v>1974</v>
      </c>
      <c r="C54" t="str">
        <f t="shared" si="1"/>
        <v>23/08</v>
      </c>
      <c r="D54" s="244" t="s">
        <v>447</v>
      </c>
      <c r="E54" s="242" t="str">
        <f t="shared" si="3"/>
        <v>বৈবাবি/বিটিবি/23/08</v>
      </c>
      <c r="F54" s="244" t="s">
        <v>447</v>
      </c>
      <c r="G54" s="246" t="str">
        <f t="shared" si="2"/>
        <v>বৈবাবি/বিটিবি/23/08</v>
      </c>
    </row>
    <row r="55" spans="1:7" ht="34.5">
      <c r="A55" s="247" t="s">
        <v>2715</v>
      </c>
      <c r="B55" s="235" t="s">
        <v>1923</v>
      </c>
      <c r="C55" t="str">
        <f t="shared" si="1"/>
        <v>14/11</v>
      </c>
      <c r="D55" s="244" t="s">
        <v>2335</v>
      </c>
      <c r="E55" s="242" t="str">
        <f t="shared" si="3"/>
        <v>বৈবাবি/বিটিবি/14/11</v>
      </c>
      <c r="F55" s="244" t="s">
        <v>2335</v>
      </c>
      <c r="G55" s="246" t="str">
        <f t="shared" si="2"/>
        <v>বৈবাবি/বিটিবি/14/11</v>
      </c>
    </row>
    <row r="56" spans="1:7" ht="34.5">
      <c r="A56" s="247" t="s">
        <v>2715</v>
      </c>
      <c r="B56" s="235" t="s">
        <v>1928</v>
      </c>
      <c r="C56" t="str">
        <f t="shared" si="1"/>
        <v>02/12</v>
      </c>
      <c r="D56" s="244" t="s">
        <v>2337</v>
      </c>
      <c r="E56" s="242" t="str">
        <f t="shared" si="3"/>
        <v>বৈবাবি/বিটিবি/02/12</v>
      </c>
      <c r="F56" s="244" t="s">
        <v>2337</v>
      </c>
      <c r="G56" s="246" t="str">
        <f t="shared" si="2"/>
        <v>বৈবাবি/বিটিবি/02/12</v>
      </c>
    </row>
    <row r="57" spans="1:7" ht="34.5">
      <c r="A57" s="247" t="s">
        <v>2715</v>
      </c>
      <c r="B57" s="235" t="s">
        <v>1926</v>
      </c>
      <c r="C57" t="str">
        <f t="shared" si="1"/>
        <v>25/12</v>
      </c>
      <c r="D57" s="244" t="s">
        <v>2724</v>
      </c>
      <c r="E57" s="242" t="str">
        <f t="shared" si="3"/>
        <v>বৈবাবি/বিটিবি/25/12</v>
      </c>
      <c r="F57" s="244" t="s">
        <v>2724</v>
      </c>
      <c r="G57" s="246" t="str">
        <f t="shared" si="2"/>
        <v>বৈবাবি/বিটিবি/25/12</v>
      </c>
    </row>
    <row r="58" spans="1:7" ht="34.5">
      <c r="A58" s="247" t="s">
        <v>2715</v>
      </c>
      <c r="B58" s="235" t="s">
        <v>2015</v>
      </c>
      <c r="C58" t="str">
        <f t="shared" si="1"/>
        <v>03/14</v>
      </c>
      <c r="D58" s="244" t="s">
        <v>2725</v>
      </c>
      <c r="E58" s="242" t="str">
        <f t="shared" si="3"/>
        <v>বৈবাবি/বিটিবি/03/14</v>
      </c>
      <c r="F58" s="244" t="s">
        <v>2725</v>
      </c>
      <c r="G58" s="246" t="str">
        <f t="shared" si="2"/>
        <v>বৈবাবি/বিটিবি/03/14</v>
      </c>
    </row>
    <row r="59" spans="1:7" ht="34.5">
      <c r="A59" s="247" t="s">
        <v>2715</v>
      </c>
      <c r="B59" s="235" t="s">
        <v>1756</v>
      </c>
      <c r="C59" t="str">
        <f t="shared" si="1"/>
        <v>02/14</v>
      </c>
      <c r="D59" s="244" t="s">
        <v>2343</v>
      </c>
      <c r="E59" s="242" t="str">
        <f t="shared" si="3"/>
        <v>বৈবাবি/বিটিবি/02/14</v>
      </c>
      <c r="F59" s="244" t="s">
        <v>2343</v>
      </c>
      <c r="G59" s="246" t="str">
        <f t="shared" si="2"/>
        <v>বৈবাবি/বিটিবি/02/14</v>
      </c>
    </row>
    <row r="60" spans="1:7" ht="34.5">
      <c r="A60" s="247" t="s">
        <v>2715</v>
      </c>
      <c r="B60" s="235" t="s">
        <v>1753</v>
      </c>
      <c r="C60" t="str">
        <f t="shared" si="1"/>
        <v>08/13</v>
      </c>
      <c r="D60" s="244" t="s">
        <v>2345</v>
      </c>
      <c r="E60" s="242" t="str">
        <f t="shared" si="3"/>
        <v>বৈবাবি/বিটিবি/08/13</v>
      </c>
      <c r="F60" s="244" t="s">
        <v>2345</v>
      </c>
      <c r="G60" s="246" t="str">
        <f t="shared" si="2"/>
        <v>বৈবাবি/বিটিবি/08/13</v>
      </c>
    </row>
    <row r="61" spans="1:7" ht="34.5">
      <c r="A61" s="247" t="s">
        <v>2715</v>
      </c>
      <c r="B61" s="235" t="s">
        <v>1901</v>
      </c>
      <c r="C61" t="str">
        <f t="shared" si="1"/>
        <v>11/14</v>
      </c>
      <c r="D61" s="244" t="s">
        <v>2726</v>
      </c>
      <c r="E61" s="242" t="str">
        <f t="shared" si="3"/>
        <v>বৈবাবি/বিটিবি/11/14</v>
      </c>
      <c r="F61" s="244" t="s">
        <v>2726</v>
      </c>
      <c r="G61" s="246" t="str">
        <f t="shared" si="2"/>
        <v>বৈবাবি/বিটিবি/11/14</v>
      </c>
    </row>
    <row r="62" spans="1:7" ht="34.5">
      <c r="A62" s="247" t="s">
        <v>2715</v>
      </c>
      <c r="B62" s="235" t="s">
        <v>1898</v>
      </c>
      <c r="C62" t="str">
        <f t="shared" si="1"/>
        <v>08/15</v>
      </c>
      <c r="D62" s="244" t="s">
        <v>2727</v>
      </c>
      <c r="E62" s="242" t="str">
        <f t="shared" si="3"/>
        <v>বৈবাবি/বিটিবি/08/15</v>
      </c>
      <c r="F62" s="244" t="s">
        <v>2727</v>
      </c>
      <c r="G62" s="246" t="str">
        <f t="shared" si="2"/>
        <v>বৈবাবি/বিটিবি/08/15</v>
      </c>
    </row>
    <row r="63" spans="1:7" ht="34.5">
      <c r="A63" s="247" t="s">
        <v>2715</v>
      </c>
      <c r="B63" s="235" t="s">
        <v>1802</v>
      </c>
      <c r="C63" t="str">
        <f t="shared" si="1"/>
        <v>11/16</v>
      </c>
      <c r="D63" s="244" t="s">
        <v>32</v>
      </c>
      <c r="E63" s="242" t="str">
        <f t="shared" si="3"/>
        <v>বৈবাবি/বিটিবি/11/16</v>
      </c>
      <c r="F63" s="244" t="s">
        <v>32</v>
      </c>
      <c r="G63" s="246" t="str">
        <f t="shared" si="2"/>
        <v>বৈবাবি/বিটিবি/11/16</v>
      </c>
    </row>
    <row r="64" spans="1:7" ht="34.5">
      <c r="A64" s="247" t="s">
        <v>2715</v>
      </c>
      <c r="B64" s="235" t="s">
        <v>2012</v>
      </c>
      <c r="C64" t="str">
        <f t="shared" si="1"/>
        <v>14/17</v>
      </c>
      <c r="D64" s="244" t="s">
        <v>532</v>
      </c>
      <c r="E64" s="242" t="str">
        <f t="shared" si="3"/>
        <v>বৈবাবি/বিটিবি/14/17</v>
      </c>
      <c r="F64" s="244" t="s">
        <v>532</v>
      </c>
      <c r="G64" s="246" t="str">
        <f t="shared" si="2"/>
        <v>বৈবাবি/বিটিবি/14/17</v>
      </c>
    </row>
    <row r="65" spans="1:7" ht="34.5">
      <c r="A65" s="247" t="s">
        <v>2715</v>
      </c>
      <c r="B65" s="235" t="s">
        <v>2054</v>
      </c>
      <c r="C65" t="str">
        <f t="shared" si="1"/>
        <v>17/17</v>
      </c>
      <c r="D65" s="244" t="s">
        <v>518</v>
      </c>
      <c r="E65" s="242" t="str">
        <f t="shared" si="3"/>
        <v>বৈবাবি/বিটিবি/17/17</v>
      </c>
      <c r="F65" s="244" t="s">
        <v>518</v>
      </c>
      <c r="G65" s="246" t="str">
        <f t="shared" si="2"/>
        <v>বৈবাবি/বিটিবি/17/17</v>
      </c>
    </row>
    <row r="66" spans="1:7" ht="34.5">
      <c r="A66" s="247" t="s">
        <v>2715</v>
      </c>
      <c r="B66" s="235" t="s">
        <v>2050</v>
      </c>
      <c r="C66" t="str">
        <f t="shared" si="1"/>
        <v>05/18</v>
      </c>
      <c r="D66" s="244" t="s">
        <v>519</v>
      </c>
      <c r="E66" s="242" t="str">
        <f t="shared" ref="E66:E97" si="4">A66 &amp; RIGHT(B66, LEN(B66)-3)</f>
        <v>বৈবাবি/বিটিবি/05/18</v>
      </c>
      <c r="F66" s="244" t="s">
        <v>519</v>
      </c>
      <c r="G66" s="246" t="str">
        <f t="shared" si="2"/>
        <v>বৈবাবি/বিটিবি/05/18</v>
      </c>
    </row>
    <row r="67" spans="1:7" ht="34.5">
      <c r="A67" s="247" t="s">
        <v>2715</v>
      </c>
      <c r="B67" s="235" t="s">
        <v>1744</v>
      </c>
      <c r="C67" t="str">
        <f t="shared" ref="C67:C130" si="5">RIGHT(B67,LEN(B67)-3)</f>
        <v>17/18</v>
      </c>
      <c r="D67" s="244" t="s">
        <v>63</v>
      </c>
      <c r="E67" s="242" t="str">
        <f t="shared" si="4"/>
        <v>বৈবাবি/বিটিবি/17/18</v>
      </c>
      <c r="F67" s="244" t="s">
        <v>63</v>
      </c>
      <c r="G67" s="246" t="str">
        <f t="shared" ref="G67:G130" si="6">A67 &amp; D67</f>
        <v>বৈবাবি/বিটিবি/17/18</v>
      </c>
    </row>
    <row r="68" spans="1:7" ht="34.5">
      <c r="A68" s="247" t="s">
        <v>2715</v>
      </c>
      <c r="B68" s="235" t="s">
        <v>2052</v>
      </c>
      <c r="C68" t="str">
        <f t="shared" si="5"/>
        <v>06/18</v>
      </c>
      <c r="D68" s="244" t="s">
        <v>520</v>
      </c>
      <c r="E68" s="242" t="str">
        <f t="shared" si="4"/>
        <v>বৈবাবি/বিটিবি/06/18</v>
      </c>
      <c r="F68" s="244" t="s">
        <v>520</v>
      </c>
      <c r="G68" s="246" t="str">
        <f t="shared" si="6"/>
        <v>বৈবাবি/বিটিবি/06/18</v>
      </c>
    </row>
    <row r="69" spans="1:7" ht="34.5">
      <c r="A69" s="247" t="s">
        <v>2715</v>
      </c>
      <c r="B69" s="235" t="s">
        <v>1741</v>
      </c>
      <c r="C69" t="str">
        <f t="shared" si="5"/>
        <v>22/18</v>
      </c>
      <c r="D69" s="244" t="s">
        <v>66</v>
      </c>
      <c r="E69" s="242" t="str">
        <f t="shared" si="4"/>
        <v>বৈবাবি/বিটিবি/22/18</v>
      </c>
      <c r="F69" s="244" t="s">
        <v>66</v>
      </c>
      <c r="G69" s="246" t="str">
        <f t="shared" si="6"/>
        <v>বৈবাবি/বিটিবি/22/18</v>
      </c>
    </row>
    <row r="70" spans="1:7" ht="34.5">
      <c r="A70" s="247" t="s">
        <v>2715</v>
      </c>
      <c r="B70" s="235" t="s">
        <v>1835</v>
      </c>
      <c r="C70" t="str">
        <f t="shared" si="5"/>
        <v>31/18</v>
      </c>
      <c r="D70" s="244" t="s">
        <v>496</v>
      </c>
      <c r="E70" s="242" t="str">
        <f t="shared" si="4"/>
        <v>বৈবাবি/বিটিবি/31/18</v>
      </c>
      <c r="F70" s="244" t="s">
        <v>496</v>
      </c>
      <c r="G70" s="246" t="str">
        <f t="shared" si="6"/>
        <v>বৈবাবি/বিটিবি/31/18</v>
      </c>
    </row>
    <row r="71" spans="1:7" ht="49.5">
      <c r="A71" s="247" t="s">
        <v>2715</v>
      </c>
      <c r="B71" s="235" t="s">
        <v>2708</v>
      </c>
      <c r="C71" t="str">
        <f t="shared" si="5"/>
        <v>33/18,34/18,35/18</v>
      </c>
      <c r="D71" s="244" t="s">
        <v>2358</v>
      </c>
      <c r="E71" s="242" t="str">
        <f t="shared" si="4"/>
        <v>বৈবাবি/বিটিবি/33/18,34/18,35/18</v>
      </c>
      <c r="F71" s="244" t="s">
        <v>2358</v>
      </c>
      <c r="G71" s="246" t="str">
        <f t="shared" si="6"/>
        <v>বৈবাবি/বিটিবি/33/18,34/18,35/18</v>
      </c>
    </row>
    <row r="72" spans="1:7" ht="34.5">
      <c r="A72" s="247" t="s">
        <v>2715</v>
      </c>
      <c r="B72" s="235" t="s">
        <v>2707</v>
      </c>
      <c r="C72" t="str">
        <f t="shared" si="5"/>
        <v>40/18</v>
      </c>
      <c r="D72" s="244" t="s">
        <v>2360</v>
      </c>
      <c r="E72" s="242" t="str">
        <f t="shared" si="4"/>
        <v>বৈবাবি/বিটিবি/40/18</v>
      </c>
      <c r="F72" s="244" t="s">
        <v>2360</v>
      </c>
      <c r="G72" s="246" t="str">
        <f t="shared" si="6"/>
        <v>বৈবাবি/বিটিবি/40/18</v>
      </c>
    </row>
    <row r="73" spans="1:7" ht="34.5">
      <c r="A73" s="247" t="s">
        <v>2715</v>
      </c>
      <c r="B73" s="235" t="s">
        <v>2706</v>
      </c>
      <c r="C73" t="str">
        <f t="shared" si="5"/>
        <v>41/18</v>
      </c>
      <c r="D73" s="244" t="s">
        <v>1817</v>
      </c>
      <c r="E73" s="242" t="str">
        <f t="shared" si="4"/>
        <v>বৈবাবি/বিটিবি/41/18</v>
      </c>
      <c r="F73" s="244" t="s">
        <v>1817</v>
      </c>
      <c r="G73" s="246" t="str">
        <f t="shared" si="6"/>
        <v>বৈবাবি/বিটিবি/41/18</v>
      </c>
    </row>
    <row r="74" spans="1:7" ht="34.5">
      <c r="A74" s="247" t="s">
        <v>2715</v>
      </c>
      <c r="B74" s="235" t="s">
        <v>1984</v>
      </c>
      <c r="C74" t="str">
        <f t="shared" si="5"/>
        <v>01/19</v>
      </c>
      <c r="D74" s="244" t="s">
        <v>2363</v>
      </c>
      <c r="E74" s="242" t="str">
        <f t="shared" si="4"/>
        <v>বৈবাবি/বিটিবি/01/19</v>
      </c>
      <c r="F74" s="244" t="s">
        <v>2363</v>
      </c>
      <c r="G74" s="246" t="str">
        <f t="shared" si="6"/>
        <v>বৈবাবি/বিটিবি/01/19</v>
      </c>
    </row>
    <row r="75" spans="1:7" ht="34.5">
      <c r="A75" s="247" t="s">
        <v>2715</v>
      </c>
      <c r="B75" s="235" t="s">
        <v>1833</v>
      </c>
      <c r="C75" t="str">
        <f t="shared" si="5"/>
        <v>03/19</v>
      </c>
      <c r="D75" s="244" t="s">
        <v>2365</v>
      </c>
      <c r="E75" s="242" t="str">
        <f t="shared" si="4"/>
        <v>বৈবাবি/বিটিবি/03/19</v>
      </c>
      <c r="F75" s="244" t="s">
        <v>2365</v>
      </c>
      <c r="G75" s="246" t="str">
        <f t="shared" si="6"/>
        <v>বৈবাবি/বিটিবি/03/19</v>
      </c>
    </row>
    <row r="76" spans="1:7" ht="34.5">
      <c r="A76" s="247" t="s">
        <v>2715</v>
      </c>
      <c r="B76" s="235" t="s">
        <v>2058</v>
      </c>
      <c r="C76" t="str">
        <f t="shared" si="5"/>
        <v>04/19</v>
      </c>
      <c r="D76" s="244" t="s">
        <v>2367</v>
      </c>
      <c r="E76" s="242" t="str">
        <f t="shared" si="4"/>
        <v>বৈবাবি/বিটিবি/04/19</v>
      </c>
      <c r="F76" s="244" t="s">
        <v>2367</v>
      </c>
      <c r="G76" s="246" t="str">
        <f t="shared" si="6"/>
        <v>বৈবাবি/বিটিবি/04/19</v>
      </c>
    </row>
    <row r="77" spans="1:7" ht="34.5">
      <c r="A77" s="247" t="s">
        <v>2715</v>
      </c>
      <c r="B77" s="235" t="s">
        <v>1837</v>
      </c>
      <c r="C77" t="str">
        <f t="shared" si="5"/>
        <v>11/19</v>
      </c>
      <c r="D77" s="244" t="s">
        <v>504</v>
      </c>
      <c r="E77" s="242" t="str">
        <f t="shared" si="4"/>
        <v>বৈবাবি/বিটিবি/11/19</v>
      </c>
      <c r="F77" s="244" t="s">
        <v>504</v>
      </c>
      <c r="G77" s="246" t="str">
        <f t="shared" si="6"/>
        <v>বৈবাবি/বিটিবি/11/19</v>
      </c>
    </row>
    <row r="78" spans="1:7" ht="34.5">
      <c r="A78" s="247" t="s">
        <v>2715</v>
      </c>
      <c r="B78" s="235" t="s">
        <v>1989</v>
      </c>
      <c r="C78" t="str">
        <f t="shared" si="5"/>
        <v>24/19</v>
      </c>
      <c r="D78" s="244" t="s">
        <v>84</v>
      </c>
      <c r="E78" s="242" t="str">
        <f t="shared" si="4"/>
        <v>বৈবাবি/বিটিবি/24/19</v>
      </c>
      <c r="F78" s="244" t="s">
        <v>84</v>
      </c>
      <c r="G78" s="246" t="str">
        <f t="shared" si="6"/>
        <v>বৈবাবি/বিটিবি/24/19</v>
      </c>
    </row>
    <row r="79" spans="1:7" ht="34.5">
      <c r="A79" s="247" t="s">
        <v>2715</v>
      </c>
      <c r="B79" s="235" t="s">
        <v>1809</v>
      </c>
      <c r="C79" t="str">
        <f t="shared" si="5"/>
        <v>23/19</v>
      </c>
      <c r="D79" s="244" t="s">
        <v>546</v>
      </c>
      <c r="E79" s="242" t="str">
        <f t="shared" si="4"/>
        <v>বৈবাবি/বিটিবি/23/19</v>
      </c>
      <c r="F79" s="244" t="s">
        <v>546</v>
      </c>
      <c r="G79" s="246" t="str">
        <f t="shared" si="6"/>
        <v>বৈবাবি/বিটিবি/23/19</v>
      </c>
    </row>
    <row r="80" spans="1:7" ht="34.5">
      <c r="A80" s="247" t="s">
        <v>2715</v>
      </c>
      <c r="B80" s="235" t="s">
        <v>1948</v>
      </c>
      <c r="C80" t="str">
        <f t="shared" si="5"/>
        <v>19/19</v>
      </c>
      <c r="D80" s="244" t="s">
        <v>2728</v>
      </c>
      <c r="E80" s="242" t="str">
        <f t="shared" si="4"/>
        <v>বৈবাবি/বিটিবি/19/19</v>
      </c>
      <c r="F80" s="244" t="s">
        <v>2728</v>
      </c>
      <c r="G80" s="246" t="str">
        <f t="shared" si="6"/>
        <v>বৈবাবি/বিটিবি/19/19</v>
      </c>
    </row>
    <row r="81" spans="1:7" ht="34.5">
      <c r="A81" s="247" t="s">
        <v>2715</v>
      </c>
      <c r="B81" s="235" t="s">
        <v>1841</v>
      </c>
      <c r="C81" t="str">
        <f t="shared" si="5"/>
        <v>10/20</v>
      </c>
      <c r="D81" s="244" t="s">
        <v>2729</v>
      </c>
      <c r="E81" s="242" t="str">
        <f t="shared" si="4"/>
        <v>বৈবাবি/বিটিবি/10/20</v>
      </c>
      <c r="F81" s="244" t="s">
        <v>2729</v>
      </c>
      <c r="G81" s="246" t="str">
        <f t="shared" si="6"/>
        <v>বৈবাবি/বিটিবি/10/20</v>
      </c>
    </row>
    <row r="82" spans="1:7" ht="34.5">
      <c r="A82" s="247" t="s">
        <v>2715</v>
      </c>
      <c r="B82" s="235" t="s">
        <v>1839</v>
      </c>
      <c r="C82" t="str">
        <f t="shared" si="5"/>
        <v>04/20</v>
      </c>
      <c r="D82" s="244" t="s">
        <v>2730</v>
      </c>
      <c r="E82" s="242" t="str">
        <f t="shared" si="4"/>
        <v>বৈবাবি/বিটিবি/04/20</v>
      </c>
      <c r="F82" s="244" t="s">
        <v>2730</v>
      </c>
      <c r="G82" s="246" t="str">
        <f t="shared" si="6"/>
        <v>বৈবাবি/বিটিবি/04/20</v>
      </c>
    </row>
    <row r="83" spans="1:7" ht="34.5">
      <c r="A83" s="247" t="s">
        <v>2715</v>
      </c>
      <c r="B83" s="235" t="s">
        <v>1994</v>
      </c>
      <c r="C83" t="str">
        <f t="shared" si="5"/>
        <v>03/20</v>
      </c>
      <c r="D83" s="244" t="s">
        <v>2731</v>
      </c>
      <c r="E83" s="242" t="str">
        <f t="shared" si="4"/>
        <v>বৈবাবি/বিটিবি/03/20</v>
      </c>
      <c r="F83" s="244" t="s">
        <v>2731</v>
      </c>
      <c r="G83" s="246" t="str">
        <f t="shared" si="6"/>
        <v>বৈবাবি/বিটিবি/03/20</v>
      </c>
    </row>
    <row r="84" spans="1:7" ht="34.5">
      <c r="A84" s="247" t="s">
        <v>2715</v>
      </c>
      <c r="B84" s="235" t="s">
        <v>2705</v>
      </c>
      <c r="C84" t="str">
        <f t="shared" si="5"/>
        <v xml:space="preserve">02/20 </v>
      </c>
      <c r="D84" s="244" t="s">
        <v>2732</v>
      </c>
      <c r="E84" s="242" t="str">
        <f t="shared" si="4"/>
        <v xml:space="preserve">বৈবাবি/বিটিবি/02/20 </v>
      </c>
      <c r="F84" s="244" t="s">
        <v>2732</v>
      </c>
      <c r="G84" s="246" t="str">
        <f t="shared" si="6"/>
        <v xml:space="preserve">বৈবাবি/বিটিবি/02/20 </v>
      </c>
    </row>
    <row r="85" spans="1:7" ht="34.5">
      <c r="A85" s="247" t="s">
        <v>2715</v>
      </c>
      <c r="B85" s="235" t="s">
        <v>2704</v>
      </c>
      <c r="C85" t="str">
        <f t="shared" si="5"/>
        <v>18/20</v>
      </c>
      <c r="D85" s="244" t="s">
        <v>581</v>
      </c>
      <c r="E85" s="242" t="str">
        <f t="shared" si="4"/>
        <v>বৈবাবি/বিটিবি/18/20</v>
      </c>
      <c r="F85" s="244" t="s">
        <v>581</v>
      </c>
      <c r="G85" s="246" t="str">
        <f t="shared" si="6"/>
        <v>বৈবাবি/বিটিবি/18/20</v>
      </c>
    </row>
    <row r="86" spans="1:7" ht="34.5">
      <c r="A86" s="247" t="s">
        <v>2715</v>
      </c>
      <c r="B86" s="235" t="s">
        <v>1811</v>
      </c>
      <c r="C86" t="str">
        <f t="shared" si="5"/>
        <v>17/20</v>
      </c>
      <c r="D86" s="244" t="s">
        <v>579</v>
      </c>
      <c r="E86" s="242" t="str">
        <f t="shared" si="4"/>
        <v>বৈবাবি/বিটিবি/17/20</v>
      </c>
      <c r="F86" s="244" t="s">
        <v>579</v>
      </c>
      <c r="G86" s="246" t="str">
        <f t="shared" si="6"/>
        <v>বৈবাবি/বিটিবি/17/20</v>
      </c>
    </row>
    <row r="87" spans="1:7" ht="34.5">
      <c r="A87" s="247" t="s">
        <v>2715</v>
      </c>
      <c r="B87" s="235" t="s">
        <v>2703</v>
      </c>
      <c r="C87" t="str">
        <f t="shared" si="5"/>
        <v>16/20</v>
      </c>
      <c r="D87" s="244" t="s">
        <v>577</v>
      </c>
      <c r="E87" s="242" t="str">
        <f t="shared" si="4"/>
        <v>বৈবাবি/বিটিবি/16/20</v>
      </c>
      <c r="F87" s="244" t="s">
        <v>577</v>
      </c>
      <c r="G87" s="246" t="str">
        <f t="shared" si="6"/>
        <v>বৈবাবি/বিটিবি/16/20</v>
      </c>
    </row>
    <row r="88" spans="1:7" ht="34.5">
      <c r="A88" s="247" t="s">
        <v>2715</v>
      </c>
      <c r="B88" s="235" t="s">
        <v>1979</v>
      </c>
      <c r="C88" t="str">
        <f t="shared" si="5"/>
        <v>41/20</v>
      </c>
      <c r="D88" s="244" t="s">
        <v>2733</v>
      </c>
      <c r="E88" s="242" t="str">
        <f t="shared" si="4"/>
        <v>বৈবাবি/বিটিবি/41/20</v>
      </c>
      <c r="F88" s="244" t="s">
        <v>2733</v>
      </c>
      <c r="G88" s="246" t="str">
        <f t="shared" si="6"/>
        <v>বৈবাবি/বিটিবি/41/20</v>
      </c>
    </row>
    <row r="89" spans="1:7" ht="34.5">
      <c r="A89" s="247" t="s">
        <v>2715</v>
      </c>
      <c r="B89" s="235" t="s">
        <v>1725</v>
      </c>
      <c r="C89" t="str">
        <f t="shared" si="5"/>
        <v>42/20</v>
      </c>
      <c r="D89" s="244" t="s">
        <v>2734</v>
      </c>
      <c r="E89" s="242" t="str">
        <f t="shared" si="4"/>
        <v>বৈবাবি/বিটিবি/42/20</v>
      </c>
      <c r="F89" s="244" t="s">
        <v>2734</v>
      </c>
      <c r="G89" s="246" t="str">
        <f t="shared" si="6"/>
        <v>বৈবাবি/বিটিবি/42/20</v>
      </c>
    </row>
    <row r="90" spans="1:7" ht="34.5">
      <c r="A90" s="247" t="s">
        <v>2715</v>
      </c>
      <c r="B90" s="235" t="s">
        <v>1723</v>
      </c>
      <c r="C90" t="str">
        <f t="shared" si="5"/>
        <v>43/20</v>
      </c>
      <c r="D90" s="244" t="s">
        <v>2735</v>
      </c>
      <c r="E90" s="242" t="str">
        <f t="shared" si="4"/>
        <v>বৈবাবি/বিটিবি/43/20</v>
      </c>
      <c r="F90" s="244" t="s">
        <v>2735</v>
      </c>
      <c r="G90" s="246" t="str">
        <f t="shared" si="6"/>
        <v>বৈবাবি/বিটিবি/43/20</v>
      </c>
    </row>
    <row r="91" spans="1:7" ht="34.5">
      <c r="A91" s="247" t="s">
        <v>2715</v>
      </c>
      <c r="B91" s="235" t="s">
        <v>1916</v>
      </c>
      <c r="C91" t="str">
        <f t="shared" si="5"/>
        <v>44/20</v>
      </c>
      <c r="D91" s="244" t="s">
        <v>2736</v>
      </c>
      <c r="E91" s="242" t="str">
        <f t="shared" si="4"/>
        <v>বৈবাবি/বিটিবি/44/20</v>
      </c>
      <c r="F91" s="244" t="s">
        <v>2736</v>
      </c>
      <c r="G91" s="246" t="str">
        <f t="shared" si="6"/>
        <v>বৈবাবি/বিটিবি/44/20</v>
      </c>
    </row>
    <row r="92" spans="1:7" ht="34.5">
      <c r="A92" s="247" t="s">
        <v>2715</v>
      </c>
      <c r="B92" s="235" t="s">
        <v>1966</v>
      </c>
      <c r="C92" t="str">
        <f t="shared" si="5"/>
        <v>11/21</v>
      </c>
      <c r="D92" s="244" t="s">
        <v>2737</v>
      </c>
      <c r="E92" s="242" t="str">
        <f t="shared" si="4"/>
        <v>বৈবাবি/বিটিবি/11/21</v>
      </c>
      <c r="F92" s="244" t="s">
        <v>2737</v>
      </c>
      <c r="G92" s="246" t="str">
        <f t="shared" si="6"/>
        <v>বৈবাবি/বিটিবি/11/21</v>
      </c>
    </row>
    <row r="93" spans="1:7" ht="34.5">
      <c r="A93" s="247" t="s">
        <v>2715</v>
      </c>
      <c r="B93" s="235" t="s">
        <v>1981</v>
      </c>
      <c r="C93" t="str">
        <f t="shared" si="5"/>
        <v>18/19</v>
      </c>
      <c r="D93" s="244" t="s">
        <v>60</v>
      </c>
      <c r="E93" s="242" t="str">
        <f t="shared" si="4"/>
        <v>বৈবাবি/বিটিবি/18/19</v>
      </c>
      <c r="F93" s="244" t="s">
        <v>60</v>
      </c>
      <c r="G93" s="246" t="str">
        <f t="shared" si="6"/>
        <v>বৈবাবি/বিটিবি/18/19</v>
      </c>
    </row>
    <row r="94" spans="1:7" ht="34.5">
      <c r="A94" s="247" t="s">
        <v>2715</v>
      </c>
      <c r="B94" s="235" t="s">
        <v>1968</v>
      </c>
      <c r="C94" t="str">
        <f t="shared" si="5"/>
        <v>15/21</v>
      </c>
      <c r="D94" s="244" t="s">
        <v>2738</v>
      </c>
      <c r="E94" s="242" t="str">
        <f t="shared" si="4"/>
        <v>বৈবাবি/বিটিবি/15/21</v>
      </c>
      <c r="F94" s="244" t="s">
        <v>2738</v>
      </c>
      <c r="G94" s="246" t="str">
        <f t="shared" si="6"/>
        <v>বৈবাবি/বিটিবি/15/21</v>
      </c>
    </row>
    <row r="95" spans="1:7" ht="34.5">
      <c r="A95" s="247" t="s">
        <v>2715</v>
      </c>
      <c r="B95" s="235" t="s">
        <v>1910</v>
      </c>
      <c r="C95" t="str">
        <f t="shared" si="5"/>
        <v>17/21</v>
      </c>
      <c r="D95" s="244" t="s">
        <v>2739</v>
      </c>
      <c r="E95" s="242" t="str">
        <f t="shared" si="4"/>
        <v>বৈবাবি/বিটিবি/17/21</v>
      </c>
      <c r="F95" s="244" t="s">
        <v>2739</v>
      </c>
      <c r="G95" s="246" t="str">
        <f t="shared" si="6"/>
        <v>বৈবাবি/বিটিবি/17/21</v>
      </c>
    </row>
    <row r="96" spans="1:7" ht="34.5">
      <c r="A96" s="247" t="s">
        <v>2715</v>
      </c>
      <c r="B96" s="235" t="s">
        <v>2402</v>
      </c>
      <c r="C96" t="str">
        <f t="shared" si="5"/>
        <v>21 DL</v>
      </c>
      <c r="D96" s="244" t="s">
        <v>2740</v>
      </c>
      <c r="E96" s="242" t="str">
        <f t="shared" si="4"/>
        <v>বৈবাবি/বিটিবি/21 DL</v>
      </c>
      <c r="F96" s="244" t="s">
        <v>2740</v>
      </c>
      <c r="G96" s="246" t="str">
        <f t="shared" si="6"/>
        <v>বৈবাবি/বিটিবি/21 DL</v>
      </c>
    </row>
    <row r="97" spans="1:7" ht="34.5">
      <c r="A97" s="247" t="s">
        <v>2715</v>
      </c>
      <c r="B97" s="235" t="s">
        <v>2404</v>
      </c>
      <c r="C97" t="str">
        <f t="shared" si="5"/>
        <v>21 DL</v>
      </c>
      <c r="D97" s="244" t="s">
        <v>2740</v>
      </c>
      <c r="E97" s="242" t="str">
        <f t="shared" si="4"/>
        <v>বৈবাবি/বিটিবি/21 DL</v>
      </c>
      <c r="F97" s="244" t="s">
        <v>2740</v>
      </c>
      <c r="G97" s="246" t="str">
        <f t="shared" si="6"/>
        <v>বৈবাবি/বিটিবি/21 DL</v>
      </c>
    </row>
    <row r="98" spans="1:7" ht="34.5">
      <c r="A98" s="247" t="s">
        <v>2715</v>
      </c>
      <c r="B98" s="235" t="s">
        <v>1727</v>
      </c>
      <c r="C98" t="str">
        <f t="shared" si="5"/>
        <v>29/21</v>
      </c>
      <c r="D98" s="244" t="s">
        <v>2741</v>
      </c>
      <c r="E98" s="242" t="str">
        <f t="shared" ref="E98:E129" si="7">A98 &amp; RIGHT(B98, LEN(B98)-3)</f>
        <v>বৈবাবি/বিটিবি/29/21</v>
      </c>
      <c r="F98" s="244" t="s">
        <v>2741</v>
      </c>
      <c r="G98" s="246" t="str">
        <f t="shared" si="6"/>
        <v>বৈবাবি/বিটিবি/29/21</v>
      </c>
    </row>
    <row r="99" spans="1:7" ht="34.5">
      <c r="A99" s="247" t="s">
        <v>2715</v>
      </c>
      <c r="B99" s="235" t="s">
        <v>1868</v>
      </c>
      <c r="C99" t="str">
        <f t="shared" si="5"/>
        <v>27/21</v>
      </c>
      <c r="D99" s="244" t="s">
        <v>2742</v>
      </c>
      <c r="E99" s="242" t="str">
        <f t="shared" si="7"/>
        <v>বৈবাবি/বিটিবি/27/21</v>
      </c>
      <c r="F99" s="244" t="s">
        <v>2742</v>
      </c>
      <c r="G99" s="246" t="str">
        <f t="shared" si="6"/>
        <v>বৈবাবি/বিটিবি/27/21</v>
      </c>
    </row>
    <row r="100" spans="1:7" ht="34.5">
      <c r="A100" s="247" t="s">
        <v>2715</v>
      </c>
      <c r="B100" s="235" t="s">
        <v>1830</v>
      </c>
      <c r="C100" t="str">
        <f t="shared" si="5"/>
        <v>05/19</v>
      </c>
      <c r="D100" s="244" t="s">
        <v>2743</v>
      </c>
      <c r="E100" s="242" t="str">
        <f t="shared" si="7"/>
        <v>বৈবাবি/বিটিবি/05/19</v>
      </c>
      <c r="F100" s="244" t="s">
        <v>2743</v>
      </c>
      <c r="G100" s="246" t="str">
        <f t="shared" si="6"/>
        <v>বৈবাবি/বিটিবি/05/19</v>
      </c>
    </row>
    <row r="101" spans="1:7" ht="34.5">
      <c r="A101" s="247" t="s">
        <v>2715</v>
      </c>
      <c r="B101" s="235" t="s">
        <v>1987</v>
      </c>
      <c r="C101" t="str">
        <f t="shared" si="5"/>
        <v>08/19</v>
      </c>
      <c r="D101" s="244" t="s">
        <v>2744</v>
      </c>
      <c r="E101" s="242" t="str">
        <f t="shared" si="7"/>
        <v>বৈবাবি/বিটিবি/08/19</v>
      </c>
      <c r="F101" s="244" t="s">
        <v>2744</v>
      </c>
      <c r="G101" s="246" t="str">
        <f t="shared" si="6"/>
        <v>বৈবাবি/বিটিবি/08/19</v>
      </c>
    </row>
    <row r="102" spans="1:7" ht="34.5">
      <c r="A102" s="247" t="s">
        <v>2715</v>
      </c>
      <c r="B102" s="235" t="s">
        <v>1946</v>
      </c>
      <c r="C102" t="str">
        <f t="shared" si="5"/>
        <v>13/19</v>
      </c>
      <c r="D102" s="244" t="s">
        <v>79</v>
      </c>
      <c r="E102" s="242" t="str">
        <f t="shared" si="7"/>
        <v>বৈবাবি/বিটিবি/13/19</v>
      </c>
      <c r="F102" s="244" t="s">
        <v>79</v>
      </c>
      <c r="G102" s="246" t="str">
        <f t="shared" si="6"/>
        <v>বৈবাবি/বিটিবি/13/19</v>
      </c>
    </row>
    <row r="103" spans="1:7" ht="34.5">
      <c r="A103" s="247" t="s">
        <v>2715</v>
      </c>
      <c r="B103" s="235" t="s">
        <v>1870</v>
      </c>
      <c r="C103" t="str">
        <f t="shared" si="5"/>
        <v>40/21</v>
      </c>
      <c r="D103" s="244" t="s">
        <v>2745</v>
      </c>
      <c r="E103" s="242" t="str">
        <f t="shared" si="7"/>
        <v>বৈবাবি/বিটিবি/40/21</v>
      </c>
      <c r="F103" s="244" t="s">
        <v>2745</v>
      </c>
      <c r="G103" s="246" t="str">
        <f t="shared" si="6"/>
        <v>বৈবাবি/বিটিবি/40/21</v>
      </c>
    </row>
    <row r="104" spans="1:7" ht="34.5">
      <c r="A104" s="247" t="s">
        <v>2715</v>
      </c>
      <c r="B104" s="235" t="s">
        <v>1913</v>
      </c>
      <c r="C104" t="str">
        <f t="shared" si="5"/>
        <v>39/21</v>
      </c>
      <c r="D104" s="244" t="s">
        <v>2746</v>
      </c>
      <c r="E104" s="242" t="str">
        <f t="shared" si="7"/>
        <v>বৈবাবি/বিটিবি/39/21</v>
      </c>
      <c r="F104" s="244" t="s">
        <v>2746</v>
      </c>
      <c r="G104" s="246" t="str">
        <f t="shared" si="6"/>
        <v>বৈবাবি/বিটিবি/39/21</v>
      </c>
    </row>
    <row r="105" spans="1:7" ht="34.5">
      <c r="A105" s="247" t="s">
        <v>2715</v>
      </c>
      <c r="B105" s="235" t="s">
        <v>1847</v>
      </c>
      <c r="C105" t="str">
        <f t="shared" si="5"/>
        <v>14/20</v>
      </c>
      <c r="D105" s="244" t="s">
        <v>575</v>
      </c>
      <c r="E105" s="242" t="str">
        <f t="shared" si="7"/>
        <v>বৈবাবি/বিটিবি/14/20</v>
      </c>
      <c r="F105" s="244" t="s">
        <v>575</v>
      </c>
      <c r="G105" s="246" t="str">
        <f t="shared" si="6"/>
        <v>বৈবাবি/বিটিবি/14/20</v>
      </c>
    </row>
    <row r="106" spans="1:7" ht="34.5">
      <c r="A106" s="247" t="s">
        <v>2715</v>
      </c>
      <c r="B106" s="235" t="s">
        <v>1843</v>
      </c>
      <c r="C106" t="str">
        <f t="shared" si="5"/>
        <v>27/20</v>
      </c>
      <c r="D106" s="244" t="s">
        <v>2747</v>
      </c>
      <c r="E106" s="242" t="str">
        <f t="shared" si="7"/>
        <v>বৈবাবি/বিটিবি/27/20</v>
      </c>
      <c r="F106" s="244" t="s">
        <v>2747</v>
      </c>
      <c r="G106" s="246" t="str">
        <f t="shared" si="6"/>
        <v>বৈবাবি/বিটিবি/27/20</v>
      </c>
    </row>
    <row r="107" spans="1:7" ht="34.5">
      <c r="A107" s="247" t="s">
        <v>2715</v>
      </c>
      <c r="B107" s="235" t="s">
        <v>2039</v>
      </c>
      <c r="C107" t="str">
        <f t="shared" si="5"/>
        <v>01/21</v>
      </c>
      <c r="D107" s="244" t="s">
        <v>2748</v>
      </c>
      <c r="E107" s="242" t="str">
        <f t="shared" si="7"/>
        <v>বৈবাবি/বিটিবি/01/21</v>
      </c>
      <c r="F107" s="244" t="s">
        <v>2748</v>
      </c>
      <c r="G107" s="246" t="str">
        <f t="shared" si="6"/>
        <v>বৈবাবি/বিটিবি/01/21</v>
      </c>
    </row>
    <row r="108" spans="1:7" ht="34.5">
      <c r="A108" s="247" t="s">
        <v>2715</v>
      </c>
      <c r="B108" s="235" t="s">
        <v>1896</v>
      </c>
      <c r="C108" t="str">
        <f t="shared" si="5"/>
        <v>04/06</v>
      </c>
      <c r="D108" s="244" t="s">
        <v>459</v>
      </c>
      <c r="E108" s="242" t="str">
        <f t="shared" si="7"/>
        <v>বৈবাবি/বিটিবি/04/06</v>
      </c>
      <c r="F108" s="244" t="s">
        <v>459</v>
      </c>
      <c r="G108" s="246" t="str">
        <f t="shared" si="6"/>
        <v>বৈবাবি/বিটিবি/04/06</v>
      </c>
    </row>
    <row r="109" spans="1:7" ht="34.5">
      <c r="A109" s="247" t="s">
        <v>2715</v>
      </c>
      <c r="B109" s="235" t="s">
        <v>1962</v>
      </c>
      <c r="C109" t="str">
        <f t="shared" si="5"/>
        <v>94/95</v>
      </c>
      <c r="D109" s="244" t="s">
        <v>378</v>
      </c>
      <c r="E109" s="242" t="str">
        <f t="shared" si="7"/>
        <v>বৈবাবি/বিটিবি/94/95</v>
      </c>
      <c r="F109" s="244" t="s">
        <v>378</v>
      </c>
      <c r="G109" s="246" t="str">
        <f t="shared" si="6"/>
        <v>বৈবাবি/বিটিবি/94/95</v>
      </c>
    </row>
    <row r="110" spans="1:7" ht="34.5">
      <c r="A110" s="247" t="s">
        <v>2715</v>
      </c>
      <c r="B110" s="235" t="s">
        <v>2047</v>
      </c>
      <c r="C110" t="str">
        <f t="shared" si="5"/>
        <v>08/14</v>
      </c>
      <c r="D110" s="244" t="s">
        <v>2749</v>
      </c>
      <c r="E110" s="242" t="str">
        <f t="shared" si="7"/>
        <v>বৈবাবি/বিটিবি/08/14</v>
      </c>
      <c r="F110" s="244" t="s">
        <v>2749</v>
      </c>
      <c r="G110" s="246" t="str">
        <f t="shared" si="6"/>
        <v>বৈবাবি/বিটিবি/08/14</v>
      </c>
    </row>
    <row r="111" spans="1:7" ht="34.5">
      <c r="A111" s="247" t="s">
        <v>2715</v>
      </c>
      <c r="B111" s="235" t="s">
        <v>2065</v>
      </c>
      <c r="C111" t="str">
        <f t="shared" si="5"/>
        <v>07/15</v>
      </c>
      <c r="D111" s="244" t="s">
        <v>2750</v>
      </c>
      <c r="E111" s="242" t="str">
        <f t="shared" si="7"/>
        <v>বৈবাবি/বিটিবি/07/15</v>
      </c>
      <c r="F111" s="244" t="s">
        <v>2750</v>
      </c>
      <c r="G111" s="246" t="str">
        <f t="shared" si="6"/>
        <v>বৈবাবি/বিটিবি/07/15</v>
      </c>
    </row>
    <row r="112" spans="1:7" ht="34.5">
      <c r="A112" s="247" t="s">
        <v>2715</v>
      </c>
      <c r="B112" s="235" t="s">
        <v>2573</v>
      </c>
      <c r="C112" t="str">
        <f t="shared" si="5"/>
        <v>23/18</v>
      </c>
      <c r="D112" s="244" t="s">
        <v>68</v>
      </c>
      <c r="E112" s="242" t="str">
        <f t="shared" si="7"/>
        <v>বৈবাবি/বিটিবি/23/18</v>
      </c>
      <c r="F112" s="244" t="s">
        <v>68</v>
      </c>
      <c r="G112" s="246" t="str">
        <f t="shared" si="6"/>
        <v>বৈবাবি/বিটিবি/23/18</v>
      </c>
    </row>
    <row r="113" spans="1:7" ht="34.5">
      <c r="A113" s="247" t="s">
        <v>2715</v>
      </c>
      <c r="B113" s="235" t="s">
        <v>2423</v>
      </c>
      <c r="C113" t="str">
        <f t="shared" si="5"/>
        <v>45/20</v>
      </c>
      <c r="D113" s="244" t="s">
        <v>2751</v>
      </c>
      <c r="E113" s="242" t="str">
        <f t="shared" si="7"/>
        <v>বৈবাবি/বিটিবি/45/20</v>
      </c>
      <c r="F113" s="244" t="s">
        <v>2751</v>
      </c>
      <c r="G113" s="246" t="str">
        <f t="shared" si="6"/>
        <v>বৈবাবি/বিটিবি/45/20</v>
      </c>
    </row>
    <row r="114" spans="1:7" ht="34.5">
      <c r="A114" s="247" t="s">
        <v>2715</v>
      </c>
      <c r="B114" s="235" t="s">
        <v>1894</v>
      </c>
      <c r="C114" t="str">
        <f t="shared" si="5"/>
        <v>13/22</v>
      </c>
      <c r="D114" s="244" t="s">
        <v>2752</v>
      </c>
      <c r="E114" s="242" t="str">
        <f t="shared" si="7"/>
        <v>বৈবাবি/বিটিবি/13/22</v>
      </c>
      <c r="F114" s="244" t="s">
        <v>2752</v>
      </c>
      <c r="G114" s="246" t="str">
        <f t="shared" si="6"/>
        <v>বৈবাবি/বিটিবি/13/22</v>
      </c>
    </row>
    <row r="115" spans="1:7" ht="34.5">
      <c r="A115" s="247" t="s">
        <v>2715</v>
      </c>
      <c r="B115" s="235" t="s">
        <v>2062</v>
      </c>
      <c r="C115" t="str">
        <f t="shared" si="5"/>
        <v>10/22</v>
      </c>
      <c r="D115" s="244" t="s">
        <v>2753</v>
      </c>
      <c r="E115" s="242" t="str">
        <f t="shared" si="7"/>
        <v>বৈবাবি/বিটিবি/10/22</v>
      </c>
      <c r="F115" s="244" t="s">
        <v>2753</v>
      </c>
      <c r="G115" s="246" t="str">
        <f t="shared" si="6"/>
        <v>বৈবাবি/বিটিবি/10/22</v>
      </c>
    </row>
    <row r="116" spans="1:7" ht="34.5">
      <c r="A116" s="247" t="s">
        <v>2715</v>
      </c>
      <c r="B116" s="235" t="s">
        <v>2017</v>
      </c>
      <c r="C116" t="str">
        <f t="shared" si="5"/>
        <v>09/22</v>
      </c>
      <c r="D116" s="244" t="s">
        <v>2754</v>
      </c>
      <c r="E116" s="242" t="str">
        <f t="shared" si="7"/>
        <v>বৈবাবি/বিটিবি/09/22</v>
      </c>
      <c r="F116" s="244" t="s">
        <v>2754</v>
      </c>
      <c r="G116" s="246" t="str">
        <f t="shared" si="6"/>
        <v>বৈবাবি/বিটিবি/09/22</v>
      </c>
    </row>
    <row r="117" spans="1:7" ht="34.5">
      <c r="A117" s="247" t="s">
        <v>2715</v>
      </c>
      <c r="B117" s="235" t="s">
        <v>2019</v>
      </c>
      <c r="C117" t="str">
        <f t="shared" si="5"/>
        <v>01/22</v>
      </c>
      <c r="D117" s="244" t="s">
        <v>2755</v>
      </c>
      <c r="E117" s="242" t="str">
        <f t="shared" si="7"/>
        <v>বৈবাবি/বিটিবি/01/22</v>
      </c>
      <c r="F117" s="244" t="s">
        <v>2755</v>
      </c>
      <c r="G117" s="246" t="str">
        <f t="shared" si="6"/>
        <v>বৈবাবি/বিটিবি/01/22</v>
      </c>
    </row>
    <row r="118" spans="1:7" ht="34.5">
      <c r="A118" s="247" t="s">
        <v>2715</v>
      </c>
      <c r="B118" s="235" t="s">
        <v>2036</v>
      </c>
      <c r="C118" t="str">
        <f t="shared" si="5"/>
        <v>03/22</v>
      </c>
      <c r="D118" s="244" t="s">
        <v>2756</v>
      </c>
      <c r="E118" s="242" t="str">
        <f t="shared" si="7"/>
        <v>বৈবাবি/বিটিবি/03/22</v>
      </c>
      <c r="F118" s="244" t="s">
        <v>2756</v>
      </c>
      <c r="G118" s="246" t="str">
        <f t="shared" si="6"/>
        <v>বৈবাবি/বিটিবি/03/22</v>
      </c>
    </row>
    <row r="119" spans="1:7" ht="34.5">
      <c r="A119" s="247" t="s">
        <v>2715</v>
      </c>
      <c r="B119" s="235" t="s">
        <v>1815</v>
      </c>
      <c r="C119" t="str">
        <f t="shared" si="5"/>
        <v>02/22</v>
      </c>
      <c r="D119" s="244" t="s">
        <v>2757</v>
      </c>
      <c r="E119" s="242" t="str">
        <f t="shared" si="7"/>
        <v>বৈবাবি/বিটিবি/02/22</v>
      </c>
      <c r="F119" s="244" t="s">
        <v>2757</v>
      </c>
      <c r="G119" s="246" t="str">
        <f t="shared" si="6"/>
        <v>বৈবাবি/বিটিবি/02/22</v>
      </c>
    </row>
    <row r="120" spans="1:7" ht="34.5">
      <c r="A120" s="247" t="s">
        <v>2715</v>
      </c>
      <c r="B120" s="235" t="s">
        <v>1908</v>
      </c>
      <c r="C120" t="str">
        <f t="shared" si="5"/>
        <v>17/22</v>
      </c>
      <c r="D120" s="244" t="s">
        <v>2758</v>
      </c>
      <c r="E120" s="242" t="str">
        <f t="shared" si="7"/>
        <v>বৈবাবি/বিটিবি/17/22</v>
      </c>
      <c r="F120" s="244" t="s">
        <v>2758</v>
      </c>
      <c r="G120" s="246" t="str">
        <f t="shared" si="6"/>
        <v>বৈবাবি/বিটিবি/17/22</v>
      </c>
    </row>
    <row r="121" spans="1:7" ht="34.5">
      <c r="A121" s="247" t="s">
        <v>2715</v>
      </c>
      <c r="B121" s="235" t="s">
        <v>2034</v>
      </c>
      <c r="C121" t="str">
        <f t="shared" si="5"/>
        <v>18/22</v>
      </c>
      <c r="D121" s="244" t="s">
        <v>2433</v>
      </c>
      <c r="E121" s="242" t="str">
        <f t="shared" si="7"/>
        <v>বৈবাবি/বিটিবি/18/22</v>
      </c>
      <c r="F121" s="244" t="s">
        <v>2433</v>
      </c>
      <c r="G121" s="246" t="str">
        <f t="shared" si="6"/>
        <v>বৈবাবি/বিটিবি/18/22</v>
      </c>
    </row>
    <row r="122" spans="1:7" ht="34.5">
      <c r="A122" s="247" t="s">
        <v>2715</v>
      </c>
      <c r="B122" s="235" t="s">
        <v>1813</v>
      </c>
      <c r="C122" t="str">
        <f t="shared" si="5"/>
        <v>16/22</v>
      </c>
      <c r="D122" s="244" t="s">
        <v>2759</v>
      </c>
      <c r="E122" s="242" t="str">
        <f t="shared" si="7"/>
        <v>বৈবাবি/বিটিবি/16/22</v>
      </c>
      <c r="F122" s="244" t="s">
        <v>2759</v>
      </c>
      <c r="G122" s="246" t="str">
        <f t="shared" si="6"/>
        <v>বৈবাবি/বিটিবি/16/22</v>
      </c>
    </row>
    <row r="123" spans="1:7" ht="34.5">
      <c r="A123" s="247" t="s">
        <v>2715</v>
      </c>
      <c r="B123" s="235" t="s">
        <v>1905</v>
      </c>
      <c r="C123" t="str">
        <f t="shared" si="5"/>
        <v>15/22</v>
      </c>
      <c r="D123" s="244" t="s">
        <v>2760</v>
      </c>
      <c r="E123" s="242" t="str">
        <f t="shared" si="7"/>
        <v>বৈবাবি/বিটিবি/15/22</v>
      </c>
      <c r="F123" s="244" t="s">
        <v>2760</v>
      </c>
      <c r="G123" s="246" t="str">
        <f t="shared" si="6"/>
        <v>বৈবাবি/বিটিবি/15/22</v>
      </c>
    </row>
    <row r="124" spans="1:7" ht="34.5">
      <c r="A124" s="247" t="s">
        <v>2715</v>
      </c>
      <c r="B124" s="235" t="s">
        <v>2702</v>
      </c>
      <c r="C124" t="str">
        <f t="shared" si="5"/>
        <v>20/22</v>
      </c>
      <c r="D124" s="244" t="s">
        <v>2761</v>
      </c>
      <c r="E124" s="242" t="str">
        <f t="shared" si="7"/>
        <v>বৈবাবি/বিটিবি/20/22</v>
      </c>
      <c r="F124" s="244" t="s">
        <v>2761</v>
      </c>
      <c r="G124" s="246" t="str">
        <f t="shared" si="6"/>
        <v>বৈবাবি/বিটিবি/20/22</v>
      </c>
    </row>
    <row r="125" spans="1:7" ht="34.5">
      <c r="A125" s="247" t="s">
        <v>2715</v>
      </c>
      <c r="B125" s="235" t="s">
        <v>2007</v>
      </c>
      <c r="C125" t="str">
        <f t="shared" si="5"/>
        <v>27/22</v>
      </c>
      <c r="D125" s="244" t="s">
        <v>2762</v>
      </c>
      <c r="E125" s="242" t="str">
        <f t="shared" si="7"/>
        <v>বৈবাবি/বিটিবি/27/22</v>
      </c>
      <c r="F125" s="244" t="s">
        <v>2762</v>
      </c>
      <c r="G125" s="246" t="str">
        <f t="shared" si="6"/>
        <v>বৈবাবি/বিটিবি/27/22</v>
      </c>
    </row>
    <row r="126" spans="1:7" ht="34.5">
      <c r="A126" s="247" t="s">
        <v>2715</v>
      </c>
      <c r="B126" s="235" t="s">
        <v>2654</v>
      </c>
      <c r="C126" t="str">
        <f t="shared" si="5"/>
        <v>01/23</v>
      </c>
      <c r="D126" s="244" t="s">
        <v>2763</v>
      </c>
      <c r="E126" s="242" t="str">
        <f t="shared" si="7"/>
        <v>বৈবাবি/বিটিবি/01/23</v>
      </c>
      <c r="F126" s="244" t="s">
        <v>2763</v>
      </c>
      <c r="G126" s="246" t="str">
        <f t="shared" si="6"/>
        <v>বৈবাবি/বিটিবি/01/23</v>
      </c>
    </row>
    <row r="127" spans="1:7" ht="34.5">
      <c r="A127" s="247" t="s">
        <v>2715</v>
      </c>
      <c r="B127" s="235" t="s">
        <v>2005</v>
      </c>
      <c r="C127" t="str">
        <f t="shared" si="5"/>
        <v>17/23</v>
      </c>
      <c r="D127" s="244" t="s">
        <v>2764</v>
      </c>
      <c r="E127" s="242" t="str">
        <f t="shared" si="7"/>
        <v>বৈবাবি/বিটিবি/17/23</v>
      </c>
      <c r="F127" s="244" t="s">
        <v>2764</v>
      </c>
      <c r="G127" s="246" t="str">
        <f t="shared" si="6"/>
        <v>বৈবাবি/বিটিবি/17/23</v>
      </c>
    </row>
    <row r="128" spans="1:7" ht="34.5">
      <c r="A128" s="247" t="s">
        <v>2715</v>
      </c>
      <c r="B128" s="235" t="s">
        <v>2041</v>
      </c>
      <c r="C128" t="str">
        <f t="shared" si="5"/>
        <v>16/23</v>
      </c>
      <c r="D128" s="244" t="s">
        <v>2765</v>
      </c>
      <c r="E128" s="242" t="str">
        <f t="shared" si="7"/>
        <v>বৈবাবি/বিটিবি/16/23</v>
      </c>
      <c r="F128" s="244" t="s">
        <v>2765</v>
      </c>
      <c r="G128" s="246" t="str">
        <f t="shared" si="6"/>
        <v>বৈবাবি/বিটিবি/16/23</v>
      </c>
    </row>
    <row r="129" spans="1:7" ht="34.5">
      <c r="A129" s="247" t="s">
        <v>2715</v>
      </c>
      <c r="B129" s="235" t="s">
        <v>2032</v>
      </c>
      <c r="C129" t="str">
        <f t="shared" si="5"/>
        <v>15/23</v>
      </c>
      <c r="D129" s="244" t="s">
        <v>2766</v>
      </c>
      <c r="E129" s="242" t="str">
        <f t="shared" si="7"/>
        <v>বৈবাবি/বিটিবি/15/23</v>
      </c>
      <c r="F129" s="244" t="s">
        <v>2766</v>
      </c>
      <c r="G129" s="246" t="str">
        <f t="shared" si="6"/>
        <v>বৈবাবি/বিটিবি/15/23</v>
      </c>
    </row>
    <row r="130" spans="1:7" ht="34.5">
      <c r="A130" s="247" t="s">
        <v>2715</v>
      </c>
      <c r="B130" s="235" t="s">
        <v>1866</v>
      </c>
      <c r="C130" t="str">
        <f t="shared" si="5"/>
        <v>09/23</v>
      </c>
      <c r="D130" s="244" t="s">
        <v>2767</v>
      </c>
      <c r="E130" s="242" t="str">
        <f t="shared" ref="E130:E156" si="8">A130 &amp; RIGHT(B130, LEN(B130)-3)</f>
        <v>বৈবাবি/বিটিবি/09/23</v>
      </c>
      <c r="F130" s="244" t="s">
        <v>2767</v>
      </c>
      <c r="G130" s="246" t="str">
        <f t="shared" si="6"/>
        <v>বৈবাবি/বিটিবি/09/23</v>
      </c>
    </row>
    <row r="131" spans="1:7" ht="34.5">
      <c r="A131" s="247" t="s">
        <v>2715</v>
      </c>
      <c r="B131" s="235" t="s">
        <v>1893</v>
      </c>
      <c r="C131" t="str">
        <f t="shared" ref="C131:C156" si="9">RIGHT(B131,LEN(B131)-3)</f>
        <v>14/23</v>
      </c>
      <c r="D131" s="244" t="s">
        <v>2768</v>
      </c>
      <c r="E131" s="242" t="str">
        <f t="shared" si="8"/>
        <v>বৈবাবি/বিটিবি/14/23</v>
      </c>
      <c r="F131" s="244" t="s">
        <v>2768</v>
      </c>
      <c r="G131" s="246" t="str">
        <f t="shared" ref="G131:G165" si="10">A131 &amp; D131</f>
        <v>বৈবাবি/বিটিবি/14/23</v>
      </c>
    </row>
    <row r="132" spans="1:7" ht="34.5">
      <c r="A132" s="247" t="s">
        <v>2715</v>
      </c>
      <c r="B132" s="235" t="s">
        <v>2060</v>
      </c>
      <c r="C132" t="str">
        <f t="shared" si="9"/>
        <v>13/23</v>
      </c>
      <c r="D132" s="244" t="s">
        <v>2769</v>
      </c>
      <c r="E132" s="242" t="str">
        <f t="shared" si="8"/>
        <v>বৈবাবি/বিটিবি/13/23</v>
      </c>
      <c r="F132" s="244" t="s">
        <v>2769</v>
      </c>
      <c r="G132" s="246" t="str">
        <f t="shared" si="10"/>
        <v>বৈবাবি/বিটিবি/13/23</v>
      </c>
    </row>
    <row r="133" spans="1:7" ht="34.5">
      <c r="A133" s="247" t="s">
        <v>2715</v>
      </c>
      <c r="B133" s="235" t="s">
        <v>1931</v>
      </c>
      <c r="C133" t="str">
        <f t="shared" si="9"/>
        <v>27/23</v>
      </c>
      <c r="D133" s="244" t="s">
        <v>2770</v>
      </c>
      <c r="E133" s="242" t="str">
        <f t="shared" si="8"/>
        <v>বৈবাবি/বিটিবি/27/23</v>
      </c>
      <c r="F133" s="244" t="s">
        <v>2770</v>
      </c>
      <c r="G133" s="246" t="str">
        <f t="shared" si="10"/>
        <v>বৈবাবি/বিটিবি/27/23</v>
      </c>
    </row>
    <row r="134" spans="1:7" ht="34.5">
      <c r="A134" s="247" t="s">
        <v>2715</v>
      </c>
      <c r="B134" s="235" t="s">
        <v>1712</v>
      </c>
      <c r="C134" t="str">
        <f t="shared" si="9"/>
        <v>26/23</v>
      </c>
      <c r="D134" s="244" t="s">
        <v>2771</v>
      </c>
      <c r="E134" s="242" t="str">
        <f t="shared" si="8"/>
        <v>বৈবাবি/বিটিবি/26/23</v>
      </c>
      <c r="F134" s="244" t="s">
        <v>2771</v>
      </c>
      <c r="G134" s="246" t="str">
        <f t="shared" si="10"/>
        <v>বৈবাবি/বিটিবি/26/23</v>
      </c>
    </row>
    <row r="135" spans="1:7" ht="34.5">
      <c r="A135" s="247" t="s">
        <v>2715</v>
      </c>
      <c r="B135" s="235" t="s">
        <v>1715</v>
      </c>
      <c r="C135" t="str">
        <f t="shared" si="9"/>
        <v>29/23</v>
      </c>
      <c r="D135" s="244" t="s">
        <v>2772</v>
      </c>
      <c r="E135" s="242" t="str">
        <f t="shared" si="8"/>
        <v>বৈবাবি/বিটিবি/29/23</v>
      </c>
      <c r="F135" s="244" t="s">
        <v>2772</v>
      </c>
      <c r="G135" s="246" t="str">
        <f t="shared" si="10"/>
        <v>বৈবাবি/বিটিবি/29/23</v>
      </c>
    </row>
    <row r="136" spans="1:7" ht="34.5">
      <c r="A136" s="247" t="s">
        <v>2715</v>
      </c>
      <c r="B136" s="235" t="s">
        <v>1798</v>
      </c>
      <c r="C136" t="str">
        <f t="shared" si="9"/>
        <v>28/23</v>
      </c>
      <c r="D136" s="244" t="s">
        <v>2773</v>
      </c>
      <c r="E136" s="242" t="str">
        <f t="shared" si="8"/>
        <v>বৈবাবি/বিটিবি/28/23</v>
      </c>
      <c r="F136" s="244" t="s">
        <v>2773</v>
      </c>
      <c r="G136" s="246" t="str">
        <f t="shared" si="10"/>
        <v>বৈবাবি/বিটিবি/28/23</v>
      </c>
    </row>
    <row r="137" spans="1:7" ht="34.5">
      <c r="A137" s="247" t="s">
        <v>2715</v>
      </c>
      <c r="B137" s="235" t="s">
        <v>1861</v>
      </c>
      <c r="C137" t="str">
        <f t="shared" si="9"/>
        <v>35/23</v>
      </c>
      <c r="D137" s="244" t="s">
        <v>2774</v>
      </c>
      <c r="E137" s="242" t="str">
        <f t="shared" si="8"/>
        <v>বৈবাবি/বিটিবি/35/23</v>
      </c>
      <c r="F137" s="244" t="s">
        <v>2774</v>
      </c>
      <c r="G137" s="246" t="str">
        <f t="shared" si="10"/>
        <v>বৈবাবি/বিটিবি/35/23</v>
      </c>
    </row>
    <row r="138" spans="1:7" ht="34.5">
      <c r="A138" s="247" t="s">
        <v>2715</v>
      </c>
      <c r="B138" s="235" t="s">
        <v>1706</v>
      </c>
      <c r="C138" t="str">
        <f t="shared" si="9"/>
        <v>34/23</v>
      </c>
      <c r="D138" s="244" t="s">
        <v>2775</v>
      </c>
      <c r="E138" s="242" t="str">
        <f t="shared" si="8"/>
        <v>বৈবাবি/বিটিবি/34/23</v>
      </c>
      <c r="F138" s="244" t="s">
        <v>2775</v>
      </c>
      <c r="G138" s="246" t="str">
        <f t="shared" si="10"/>
        <v>বৈবাবি/বিটিবি/34/23</v>
      </c>
    </row>
    <row r="139" spans="1:7" ht="34.5">
      <c r="A139" s="247" t="s">
        <v>2715</v>
      </c>
      <c r="B139" s="235" t="s">
        <v>1862</v>
      </c>
      <c r="C139" t="str">
        <f t="shared" si="9"/>
        <v>33/23</v>
      </c>
      <c r="D139" s="244" t="s">
        <v>2776</v>
      </c>
      <c r="E139" s="242" t="str">
        <f t="shared" si="8"/>
        <v>বৈবাবি/বিটিবি/33/23</v>
      </c>
      <c r="F139" s="244" t="s">
        <v>2776</v>
      </c>
      <c r="G139" s="246" t="str">
        <f t="shared" si="10"/>
        <v>বৈবাবি/বিটিবি/33/23</v>
      </c>
    </row>
    <row r="140" spans="1:7" ht="34.5">
      <c r="A140" s="247" t="s">
        <v>2715</v>
      </c>
      <c r="B140" s="235" t="s">
        <v>1852</v>
      </c>
      <c r="C140" t="str">
        <f t="shared" si="9"/>
        <v>32/23</v>
      </c>
      <c r="D140" s="244" t="s">
        <v>2777</v>
      </c>
      <c r="E140" s="242" t="str">
        <f t="shared" si="8"/>
        <v>বৈবাবি/বিটিবি/32/23</v>
      </c>
      <c r="F140" s="244" t="s">
        <v>2777</v>
      </c>
      <c r="G140" s="246" t="str">
        <f t="shared" si="10"/>
        <v>বৈবাবি/বিটিবি/32/23</v>
      </c>
    </row>
    <row r="141" spans="1:7" ht="34.5">
      <c r="A141" s="247" t="s">
        <v>2715</v>
      </c>
      <c r="B141" t="s">
        <v>1875</v>
      </c>
      <c r="C141" t="str">
        <f t="shared" si="9"/>
        <v>40/23</v>
      </c>
      <c r="D141" s="244" t="s">
        <v>2778</v>
      </c>
      <c r="E141" s="242" t="str">
        <f t="shared" si="8"/>
        <v>বৈবাবি/বিটিবি/40/23</v>
      </c>
      <c r="F141" s="244" t="s">
        <v>2778</v>
      </c>
      <c r="G141" s="246" t="str">
        <f t="shared" si="10"/>
        <v>বৈবাবি/বিটিবি/40/23</v>
      </c>
    </row>
    <row r="142" spans="1:7" ht="34.5">
      <c r="A142" s="247" t="s">
        <v>2715</v>
      </c>
      <c r="B142" t="s">
        <v>1855</v>
      </c>
      <c r="C142" t="str">
        <f t="shared" si="9"/>
        <v>36/23</v>
      </c>
      <c r="D142" s="244" t="s">
        <v>2779</v>
      </c>
      <c r="E142" s="242" t="str">
        <f t="shared" si="8"/>
        <v>বৈবাবি/বিটিবি/36/23</v>
      </c>
      <c r="F142" s="244" t="s">
        <v>2779</v>
      </c>
      <c r="G142" s="246" t="str">
        <f t="shared" si="10"/>
        <v>বৈবাবি/বিটিবি/36/23</v>
      </c>
    </row>
    <row r="143" spans="1:7" ht="34.5">
      <c r="A143" s="247" t="s">
        <v>2715</v>
      </c>
      <c r="B143" t="s">
        <v>1709</v>
      </c>
      <c r="C143" t="str">
        <f t="shared" si="9"/>
        <v>31/23</v>
      </c>
      <c r="D143" s="244" t="s">
        <v>2780</v>
      </c>
      <c r="E143" s="242" t="str">
        <f t="shared" si="8"/>
        <v>বৈবাবি/বিটিবি/31/23</v>
      </c>
      <c r="F143" s="244" t="s">
        <v>2780</v>
      </c>
      <c r="G143" s="246" t="str">
        <f t="shared" si="10"/>
        <v>বৈবাবি/বিটিবি/31/23</v>
      </c>
    </row>
    <row r="144" spans="1:7" ht="34.5">
      <c r="A144" s="247" t="s">
        <v>2715</v>
      </c>
      <c r="B144" t="s">
        <v>1937</v>
      </c>
      <c r="C144" t="str">
        <f t="shared" si="9"/>
        <v>41/23</v>
      </c>
      <c r="D144" s="244" t="s">
        <v>2781</v>
      </c>
      <c r="E144" s="242" t="str">
        <f t="shared" si="8"/>
        <v>বৈবাবি/বিটিবি/41/23</v>
      </c>
      <c r="F144" s="244" t="s">
        <v>2781</v>
      </c>
      <c r="G144" s="246" t="str">
        <f t="shared" si="10"/>
        <v>বৈবাবি/বিটিবি/41/23</v>
      </c>
    </row>
    <row r="145" spans="1:7" ht="34.5">
      <c r="A145" s="247" t="s">
        <v>2715</v>
      </c>
      <c r="B145" t="s">
        <v>1890</v>
      </c>
      <c r="C145" t="str">
        <f t="shared" si="9"/>
        <v>02/24</v>
      </c>
      <c r="D145" s="244" t="s">
        <v>2782</v>
      </c>
      <c r="E145" s="242" t="str">
        <f t="shared" si="8"/>
        <v>বৈবাবি/বিটিবি/02/24</v>
      </c>
      <c r="F145" s="244" t="s">
        <v>2782</v>
      </c>
      <c r="G145" s="246" t="str">
        <f t="shared" si="10"/>
        <v>বৈবাবি/বিটিবি/02/24</v>
      </c>
    </row>
    <row r="146" spans="1:7" ht="34.5">
      <c r="A146" s="247" t="s">
        <v>2715</v>
      </c>
      <c r="B146" t="s">
        <v>1888</v>
      </c>
      <c r="C146" t="str">
        <f t="shared" si="9"/>
        <v>01/24</v>
      </c>
      <c r="D146" s="244" t="s">
        <v>2783</v>
      </c>
      <c r="E146" s="242" t="str">
        <f t="shared" si="8"/>
        <v>বৈবাবি/বিটিবি/01/24</v>
      </c>
      <c r="F146" s="244" t="s">
        <v>2783</v>
      </c>
      <c r="G146" s="246" t="str">
        <f t="shared" si="10"/>
        <v>বৈবাবি/বিটিবি/01/24</v>
      </c>
    </row>
    <row r="147" spans="1:7" ht="34.5">
      <c r="A147" s="247" t="s">
        <v>2715</v>
      </c>
      <c r="B147" t="s">
        <v>2698</v>
      </c>
      <c r="C147" t="str">
        <f t="shared" si="9"/>
        <v>04/24</v>
      </c>
      <c r="D147" s="244" t="s">
        <v>2784</v>
      </c>
      <c r="E147" s="242" t="str">
        <f t="shared" si="8"/>
        <v>বৈবাবি/বিটিবি/04/24</v>
      </c>
      <c r="F147" s="244" t="s">
        <v>2784</v>
      </c>
      <c r="G147" s="246" t="str">
        <f t="shared" si="10"/>
        <v>বৈবাবি/বিটিবি/04/24</v>
      </c>
    </row>
    <row r="148" spans="1:7" ht="34.5">
      <c r="A148" s="247" t="s">
        <v>2715</v>
      </c>
      <c r="B148" t="s">
        <v>2022</v>
      </c>
      <c r="C148" t="str">
        <f t="shared" si="9"/>
        <v>05/24</v>
      </c>
      <c r="D148" s="244" t="s">
        <v>2785</v>
      </c>
      <c r="E148" s="242" t="str">
        <f t="shared" si="8"/>
        <v>বৈবাবি/বিটিবি/05/24</v>
      </c>
      <c r="F148" s="244" t="s">
        <v>2785</v>
      </c>
      <c r="G148" s="246" t="str">
        <f t="shared" si="10"/>
        <v>বৈবাবি/বিটিবি/05/24</v>
      </c>
    </row>
    <row r="149" spans="1:7" ht="34.5">
      <c r="A149" s="247" t="s">
        <v>2715</v>
      </c>
      <c r="B149" t="s">
        <v>1934</v>
      </c>
      <c r="C149" t="str">
        <f t="shared" si="9"/>
        <v>06/24</v>
      </c>
      <c r="D149" s="244" t="s">
        <v>2786</v>
      </c>
      <c r="E149" s="242" t="str">
        <f t="shared" si="8"/>
        <v>বৈবাবি/বিটিবি/06/24</v>
      </c>
      <c r="F149" s="244" t="s">
        <v>2786</v>
      </c>
      <c r="G149" s="246" t="str">
        <f t="shared" si="10"/>
        <v>বৈবাবি/বিটিবি/06/24</v>
      </c>
    </row>
    <row r="150" spans="1:7" ht="34.5">
      <c r="A150" s="247" t="s">
        <v>2715</v>
      </c>
      <c r="B150" s="235" t="s">
        <v>1738</v>
      </c>
      <c r="C150" t="str">
        <f t="shared" si="9"/>
        <v>07/24</v>
      </c>
      <c r="D150" s="244" t="s">
        <v>2787</v>
      </c>
      <c r="E150" s="242" t="str">
        <f t="shared" si="8"/>
        <v>বৈবাবি/বিটিবি/07/24</v>
      </c>
      <c r="F150" s="244" t="s">
        <v>2787</v>
      </c>
      <c r="G150" s="246" t="str">
        <f t="shared" si="10"/>
        <v>বৈবাবি/বিটিবি/07/24</v>
      </c>
    </row>
    <row r="151" spans="1:7" ht="34.5">
      <c r="A151" s="247" t="s">
        <v>2715</v>
      </c>
      <c r="B151" s="235" t="s">
        <v>1760</v>
      </c>
      <c r="C151" t="str">
        <f t="shared" si="9"/>
        <v>08/24</v>
      </c>
      <c r="D151" s="244" t="s">
        <v>2788</v>
      </c>
      <c r="E151" s="242" t="str">
        <f t="shared" si="8"/>
        <v>বৈবাবি/বিটিবি/08/24</v>
      </c>
      <c r="F151" s="244" t="s">
        <v>2788</v>
      </c>
      <c r="G151" s="246" t="str">
        <f t="shared" si="10"/>
        <v>বৈবাবি/বিটিবি/08/24</v>
      </c>
    </row>
    <row r="152" spans="1:7" ht="34.5">
      <c r="A152" s="247" t="s">
        <v>2715</v>
      </c>
      <c r="B152" t="s">
        <v>1790</v>
      </c>
      <c r="C152" t="str">
        <f t="shared" si="9"/>
        <v>09/24</v>
      </c>
      <c r="D152" s="244" t="s">
        <v>2789</v>
      </c>
      <c r="E152" s="242" t="str">
        <f t="shared" si="8"/>
        <v>বৈবাবি/বিটিবি/09/24</v>
      </c>
      <c r="F152" s="244" t="s">
        <v>2789</v>
      </c>
      <c r="G152" s="246" t="str">
        <f t="shared" si="10"/>
        <v>বৈবাবি/বিটিবি/09/24</v>
      </c>
    </row>
    <row r="153" spans="1:7" ht="34.5">
      <c r="A153" s="247" t="s">
        <v>2715</v>
      </c>
      <c r="B153" t="s">
        <v>1784</v>
      </c>
      <c r="C153" t="str">
        <f t="shared" si="9"/>
        <v>14/24</v>
      </c>
      <c r="D153" s="244" t="s">
        <v>2790</v>
      </c>
      <c r="E153" s="242" t="str">
        <f t="shared" si="8"/>
        <v>বৈবাবি/বিটিবি/14/24</v>
      </c>
      <c r="F153" s="244" t="s">
        <v>2790</v>
      </c>
      <c r="G153" s="246" t="str">
        <f t="shared" si="10"/>
        <v>বৈবাবি/বিটিবি/14/24</v>
      </c>
    </row>
    <row r="154" spans="1:7" ht="34.5">
      <c r="A154" s="247" t="s">
        <v>2715</v>
      </c>
      <c r="B154" t="s">
        <v>1787</v>
      </c>
      <c r="C154" t="str">
        <f t="shared" si="9"/>
        <v>12/24</v>
      </c>
      <c r="D154" s="244" t="s">
        <v>2791</v>
      </c>
      <c r="E154" s="242" t="str">
        <f t="shared" si="8"/>
        <v>বৈবাবি/বিটিবি/12/24</v>
      </c>
      <c r="F154" s="244" t="s">
        <v>2791</v>
      </c>
      <c r="G154" s="246" t="str">
        <f t="shared" si="10"/>
        <v>বৈবাবি/বিটিবি/12/24</v>
      </c>
    </row>
    <row r="155" spans="1:7" ht="34.5">
      <c r="A155" s="247" t="s">
        <v>2715</v>
      </c>
      <c r="B155" t="s">
        <v>1780</v>
      </c>
      <c r="C155" t="str">
        <f t="shared" si="9"/>
        <v>16/24</v>
      </c>
      <c r="D155" s="244" t="s">
        <v>731</v>
      </c>
      <c r="E155" s="242" t="str">
        <f t="shared" si="8"/>
        <v>বৈবাবি/বিটিবি/16/24</v>
      </c>
      <c r="F155" s="244" t="s">
        <v>731</v>
      </c>
      <c r="G155" s="246" t="str">
        <f t="shared" si="10"/>
        <v>বৈবাবি/বিটিবি/16/24</v>
      </c>
    </row>
    <row r="156" spans="1:7" ht="34.5">
      <c r="A156" s="247" t="s">
        <v>2715</v>
      </c>
      <c r="B156" t="s">
        <v>1786</v>
      </c>
      <c r="C156" t="str">
        <f t="shared" si="9"/>
        <v>15/24</v>
      </c>
      <c r="D156" s="244" t="s">
        <v>2792</v>
      </c>
      <c r="E156" s="242" t="str">
        <f t="shared" si="8"/>
        <v>বৈবাবি/বিটিবি/15/24</v>
      </c>
      <c r="F156" s="244" t="s">
        <v>2792</v>
      </c>
      <c r="G156" s="246" t="str">
        <f t="shared" si="10"/>
        <v>বৈবাবি/বিটিবি/15/24</v>
      </c>
    </row>
    <row r="157" spans="1:7" ht="24">
      <c r="A157" s="247" t="s">
        <v>2715</v>
      </c>
      <c r="D157" s="244"/>
      <c r="E157" s="242"/>
      <c r="F157" s="244"/>
      <c r="G157" s="246" t="str">
        <f t="shared" si="10"/>
        <v>বৈবাবি/বিটিবি/</v>
      </c>
    </row>
    <row r="158" spans="1:7" ht="34.5">
      <c r="A158" s="247" t="s">
        <v>2715</v>
      </c>
      <c r="B158" t="s">
        <v>2699</v>
      </c>
      <c r="C158" t="str">
        <f t="shared" ref="C158:C165" si="11">RIGHT(B158,LEN(B158)-3)</f>
        <v>13/24</v>
      </c>
      <c r="D158" s="244" t="s">
        <v>2793</v>
      </c>
      <c r="E158" s="242" t="str">
        <f t="shared" ref="E158:E165" si="12">A158 &amp; RIGHT(B158, LEN(B158)-3)</f>
        <v>বৈবাবি/বিটিবি/13/24</v>
      </c>
      <c r="F158" s="244" t="s">
        <v>2793</v>
      </c>
      <c r="G158" s="246" t="str">
        <f t="shared" si="10"/>
        <v>বৈবাবি/বিটিবি/13/24</v>
      </c>
    </row>
    <row r="159" spans="1:7" ht="34.5">
      <c r="A159" s="247" t="s">
        <v>2715</v>
      </c>
      <c r="B159" s="235" t="s">
        <v>2701</v>
      </c>
      <c r="C159" t="str">
        <f t="shared" si="11"/>
        <v>19/24</v>
      </c>
      <c r="D159" s="244" t="s">
        <v>172</v>
      </c>
      <c r="E159" s="242" t="str">
        <f t="shared" si="12"/>
        <v>বৈবাবি/বিটিবি/19/24</v>
      </c>
      <c r="F159" s="244" t="s">
        <v>172</v>
      </c>
      <c r="G159" s="246" t="str">
        <f t="shared" si="10"/>
        <v>বৈবাবি/বিটিবি/19/24</v>
      </c>
    </row>
    <row r="160" spans="1:7" ht="34.5">
      <c r="A160" s="247" t="s">
        <v>2715</v>
      </c>
      <c r="B160" t="s">
        <v>1858</v>
      </c>
      <c r="C160" t="str">
        <f t="shared" si="11"/>
        <v>17/24</v>
      </c>
      <c r="D160" s="244" t="s">
        <v>2794</v>
      </c>
      <c r="E160" s="242" t="str">
        <f t="shared" si="12"/>
        <v>বৈবাবি/বিটিবি/17/24</v>
      </c>
      <c r="F160" s="244" t="s">
        <v>2794</v>
      </c>
      <c r="G160" s="246" t="str">
        <f t="shared" si="10"/>
        <v>বৈবাবি/বিটিবি/17/24</v>
      </c>
    </row>
    <row r="161" spans="1:7" ht="34.5">
      <c r="A161" s="247" t="s">
        <v>2715</v>
      </c>
      <c r="B161" t="s">
        <v>1919</v>
      </c>
      <c r="C161" t="str">
        <f t="shared" si="11"/>
        <v>18/24</v>
      </c>
      <c r="D161" s="244" t="s">
        <v>734</v>
      </c>
      <c r="E161" s="242" t="str">
        <f t="shared" si="12"/>
        <v>বৈবাবি/বিটিবি/18/24</v>
      </c>
      <c r="F161" s="244" t="s">
        <v>734</v>
      </c>
      <c r="G161" s="246" t="str">
        <f t="shared" si="10"/>
        <v>বৈবাবি/বিটিবি/18/24</v>
      </c>
    </row>
    <row r="162" spans="1:7" ht="34.5">
      <c r="A162" s="247" t="s">
        <v>2715</v>
      </c>
      <c r="B162" t="s">
        <v>2700</v>
      </c>
      <c r="C162" t="str">
        <f t="shared" si="11"/>
        <v xml:space="preserve">21/24 </v>
      </c>
      <c r="D162" s="244" t="s">
        <v>2795</v>
      </c>
      <c r="E162" s="242" t="str">
        <f t="shared" si="12"/>
        <v xml:space="preserve">বৈবাবি/বিটিবি/21/24 </v>
      </c>
      <c r="F162" s="244" t="s">
        <v>2795</v>
      </c>
      <c r="G162" s="246" t="str">
        <f t="shared" si="10"/>
        <v xml:space="preserve">বৈবাবি/বিটিবি/21/24 </v>
      </c>
    </row>
    <row r="163" spans="1:7" ht="34.5">
      <c r="A163" s="247" t="s">
        <v>2715</v>
      </c>
      <c r="B163" t="s">
        <v>1873</v>
      </c>
      <c r="C163" t="str">
        <f t="shared" si="11"/>
        <v>20/24</v>
      </c>
      <c r="D163" s="244" t="s">
        <v>174</v>
      </c>
      <c r="E163" s="242" t="str">
        <f t="shared" si="12"/>
        <v>বৈবাবি/বিটিবি/20/24</v>
      </c>
      <c r="F163" s="244" t="s">
        <v>174</v>
      </c>
      <c r="G163" s="246" t="str">
        <f t="shared" si="10"/>
        <v>বৈবাবি/বিটিবি/20/24</v>
      </c>
    </row>
    <row r="164" spans="1:7" ht="34.5">
      <c r="A164" s="247" t="s">
        <v>2715</v>
      </c>
      <c r="B164" t="s">
        <v>1736</v>
      </c>
      <c r="C164" t="str">
        <f t="shared" si="11"/>
        <v>22/24</v>
      </c>
      <c r="D164" s="244" t="s">
        <v>2796</v>
      </c>
      <c r="E164" s="242" t="str">
        <f t="shared" si="12"/>
        <v>বৈবাবি/বিটিবি/22/24</v>
      </c>
      <c r="F164" s="244" t="s">
        <v>2796</v>
      </c>
      <c r="G164" s="246" t="str">
        <f t="shared" si="10"/>
        <v>বৈবাবি/বিটিবি/22/24</v>
      </c>
    </row>
    <row r="165" spans="1:7" ht="34.5">
      <c r="A165" s="247" t="s">
        <v>2715</v>
      </c>
      <c r="B165" t="s">
        <v>1891</v>
      </c>
      <c r="C165" t="str">
        <f t="shared" si="11"/>
        <v>10/24</v>
      </c>
      <c r="D165" s="244" t="s">
        <v>2797</v>
      </c>
      <c r="E165" s="242" t="str">
        <f t="shared" si="12"/>
        <v>বৈবাবি/বিটিবি/10/24</v>
      </c>
      <c r="F165" s="244" t="s">
        <v>2797</v>
      </c>
      <c r="G165" s="246" t="str">
        <f t="shared" si="10"/>
        <v>বৈবাবি/বিটিবি/10/24</v>
      </c>
    </row>
  </sheetData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P183"/>
  <sheetViews>
    <sheetView topLeftCell="A167" workbookViewId="0">
      <selection activeCell="E167" sqref="E1:E1048576"/>
    </sheetView>
  </sheetViews>
  <sheetFormatPr defaultColWidth="36.140625" defaultRowHeight="15"/>
  <cols>
    <col min="1" max="1" width="4" bestFit="1" customWidth="1"/>
    <col min="2" max="2" width="37.7109375" bestFit="1" customWidth="1"/>
    <col min="3" max="3" width="29.7109375" customWidth="1"/>
    <col min="4" max="4" width="17.7109375" customWidth="1"/>
    <col min="5" max="5" width="9.42578125" bestFit="1" customWidth="1"/>
    <col min="6" max="6" width="15.140625" bestFit="1" customWidth="1"/>
    <col min="7" max="7" width="13.140625" bestFit="1" customWidth="1"/>
    <col min="8" max="8" width="24.5703125" bestFit="1" customWidth="1"/>
    <col min="9" max="9" width="17.5703125" bestFit="1" customWidth="1"/>
    <col min="10" max="10" width="22.85546875" bestFit="1" customWidth="1"/>
    <col min="11" max="11" width="15" bestFit="1" customWidth="1"/>
    <col min="12" max="12" width="24.140625" bestFit="1" customWidth="1"/>
    <col min="13" max="13" width="34.85546875" bestFit="1" customWidth="1"/>
    <col min="14" max="14" width="10.140625" bestFit="1" customWidth="1"/>
    <col min="15" max="15" width="15.7109375" bestFit="1" customWidth="1"/>
    <col min="16" max="16" width="23.140625" bestFit="1" customWidth="1"/>
  </cols>
  <sheetData>
    <row r="1" spans="1:16">
      <c r="A1" s="250" t="s">
        <v>2913</v>
      </c>
      <c r="B1" s="251" t="s">
        <v>176</v>
      </c>
      <c r="C1" s="250" t="s">
        <v>2914</v>
      </c>
      <c r="D1" s="250" t="s">
        <v>2915</v>
      </c>
      <c r="E1" s="252" t="s">
        <v>178</v>
      </c>
      <c r="F1" s="250" t="s">
        <v>2916</v>
      </c>
      <c r="G1" s="250" t="s">
        <v>2917</v>
      </c>
      <c r="H1" s="253" t="s">
        <v>2918</v>
      </c>
      <c r="I1" s="253" t="s">
        <v>2919</v>
      </c>
      <c r="J1" s="253" t="s">
        <v>2920</v>
      </c>
      <c r="K1" s="253" t="s">
        <v>2921</v>
      </c>
      <c r="L1" s="250" t="s">
        <v>2922</v>
      </c>
      <c r="M1" s="252" t="s">
        <v>2923</v>
      </c>
      <c r="N1" s="254" t="s">
        <v>2924</v>
      </c>
      <c r="O1" s="254" t="s">
        <v>2925</v>
      </c>
      <c r="P1" s="255" t="s">
        <v>2926</v>
      </c>
    </row>
    <row r="2" spans="1:16">
      <c r="A2" s="325">
        <v>189</v>
      </c>
      <c r="B2" s="272" t="s">
        <v>455</v>
      </c>
      <c r="C2" s="313" t="s">
        <v>2986</v>
      </c>
      <c r="D2" s="274" t="s">
        <v>2987</v>
      </c>
      <c r="E2" s="317" t="s">
        <v>456</v>
      </c>
      <c r="F2" s="38">
        <v>40889</v>
      </c>
      <c r="G2" s="38">
        <v>40889</v>
      </c>
      <c r="H2" s="262">
        <v>3394455</v>
      </c>
      <c r="I2" s="262">
        <f>327463+426000</f>
        <v>753463</v>
      </c>
      <c r="J2" s="262">
        <v>4275702</v>
      </c>
      <c r="K2" s="262"/>
      <c r="L2" s="37" t="s">
        <v>17</v>
      </c>
      <c r="M2" s="267"/>
      <c r="N2" s="264"/>
      <c r="O2" s="264"/>
      <c r="P2" s="74"/>
    </row>
    <row r="3" spans="1:16">
      <c r="A3" s="325">
        <v>190</v>
      </c>
      <c r="B3" s="272" t="s">
        <v>455</v>
      </c>
      <c r="C3" s="313" t="s">
        <v>2986</v>
      </c>
      <c r="D3" s="274" t="s">
        <v>2987</v>
      </c>
      <c r="E3" s="317" t="s">
        <v>457</v>
      </c>
      <c r="F3" s="38">
        <v>41085</v>
      </c>
      <c r="G3" s="38">
        <v>41085</v>
      </c>
      <c r="H3" s="262">
        <v>3407220</v>
      </c>
      <c r="I3" s="262">
        <f>464000</f>
        <v>464000</v>
      </c>
      <c r="J3" s="262">
        <v>6326787</v>
      </c>
      <c r="K3" s="262">
        <f>SUM(J2:J3)</f>
        <v>10602489</v>
      </c>
      <c r="L3" s="37" t="s">
        <v>17</v>
      </c>
      <c r="M3" s="267"/>
      <c r="N3" s="264"/>
      <c r="O3" s="264"/>
      <c r="P3" s="74"/>
    </row>
    <row r="4" spans="1:16">
      <c r="A4" s="256">
        <v>297</v>
      </c>
      <c r="B4" s="272" t="s">
        <v>711</v>
      </c>
      <c r="C4" s="313" t="s">
        <v>2986</v>
      </c>
      <c r="D4" s="274" t="s">
        <v>2987</v>
      </c>
      <c r="E4" s="355" t="s">
        <v>3004</v>
      </c>
      <c r="F4" s="356" t="s">
        <v>713</v>
      </c>
      <c r="G4" s="356" t="s">
        <v>713</v>
      </c>
      <c r="H4" s="357">
        <f>766500 +2190935.13 +1095000 +1237590.9+3912871.91 +7292700 +6887550 +2190032.85+7029900 +7161300 +7161300 +7459687.5 +3375523.65 +564344.38 +13848237.24 +5361120 +5529750 +5529750 +5529750 +5475000 +5529750 +5529750 +5474992.34 +5529750 +8097525 +5473110.03 +5529750 +5529750 +7292700 +7818300 +2466523.64 +498312.6 +1784850 +7259850</f>
        <v>173413757.16999999</v>
      </c>
      <c r="I4" s="358"/>
      <c r="J4" s="357">
        <f>H4+2735792.9 +2761602.05 +2709983.75 +2743535.64 +1396125 +1029300 +1149750 +2233143 +7846715.25 +8520030.75 +8649514.5 +8649514.5 +8545927.5 +8545927.5+6935566.85 +2190000 +3285532.17 +2684174.6 +5652738.21 +2792574.12 +3539496.62 +4457233.64 +6510128.69 +7671967.49 +9171192.21+4348873.53 +5975556.26+4390993.8 +3394505.48 +10774643.42 +8584800 +8540995.62 +8584800 +8584800 +8584800 +5226272.94 +5255535.72 +4850920.08 +3285018.63+6887550 +9778350 +3003300.3 +725985 +8345659.67 +5465215.08 +5472810 +4369115.7 +3504026.28 +3394550.37 +5475000+9088500+4927582.13+6734250 +6734250 +6734250 +5475000 +11759909.09 +10229933.48+4030793.55 +9745500+8762737.5 +8998162.5 +8762737.5+6920400 +6920400 +7352925 +7352925 +3646350 +3657300+7632150 +8754525 +8305575 +8979000 +8979000 +8305575 +8754525 +7632150+3646350 +5475000 +2190000+3285026.28+8611075 +11145475 +8492000 +8909450+2717000 +4070030.8 +2013000 +696342.9 +2189022 +1944800 +462107.8+5890500+7854000 +2200000 +10282800 +8767440 +10715760+1485000 +2535500 +736307 +8236800 +362725 +1343826+9782180</f>
        <v>783841225.51999986</v>
      </c>
      <c r="K4" s="357">
        <f>J4</f>
        <v>783841225.51999986</v>
      </c>
      <c r="L4" s="359">
        <f>K4-759358887.52</f>
        <v>24482337.999999881</v>
      </c>
      <c r="M4" s="298" t="s">
        <v>3005</v>
      </c>
      <c r="N4" s="264"/>
      <c r="O4" s="264"/>
      <c r="P4" s="360"/>
    </row>
    <row r="5" spans="1:16">
      <c r="A5" s="256">
        <v>296</v>
      </c>
      <c r="B5" s="272" t="s">
        <v>708</v>
      </c>
      <c r="C5" s="313" t="s">
        <v>2986</v>
      </c>
      <c r="D5" s="274" t="s">
        <v>2987</v>
      </c>
      <c r="E5" s="317" t="s">
        <v>709</v>
      </c>
      <c r="F5" s="269" t="s">
        <v>706</v>
      </c>
      <c r="G5" s="269" t="s">
        <v>706</v>
      </c>
      <c r="H5" s="276">
        <f>8951625+8951625</f>
        <v>17903250</v>
      </c>
      <c r="I5" s="301"/>
      <c r="J5" s="276">
        <f>H5+5055615+4774747.5+5196048.75 +13216102.5 +9198000 +9033750 +9033750 +11223750 +6022500 +7062750 +6460500 +12282615 +8278200 +8760000 +8760000 +8760000 +8760000 +8322000 +2763506.25 +11800815 +10224562.5 +3580650 +8421371.25</f>
        <v>204894483.75</v>
      </c>
      <c r="K5" s="276">
        <f>J5</f>
        <v>204894483.75</v>
      </c>
      <c r="L5" s="341"/>
      <c r="M5" s="298"/>
      <c r="N5" s="264"/>
      <c r="O5" s="264"/>
      <c r="P5" s="82" t="s">
        <v>710</v>
      </c>
    </row>
    <row r="6" spans="1:16">
      <c r="A6" s="256">
        <v>92</v>
      </c>
      <c r="B6" s="272" t="s">
        <v>155</v>
      </c>
      <c r="C6" s="273" t="s">
        <v>2927</v>
      </c>
      <c r="D6" s="274" t="s">
        <v>2928</v>
      </c>
      <c r="E6" s="300" t="s">
        <v>2969</v>
      </c>
      <c r="F6" s="269">
        <v>45137</v>
      </c>
      <c r="G6" s="269">
        <v>45137</v>
      </c>
      <c r="H6" s="302">
        <f>24872998.44+5203488 +18671561.25 +8968239.06</f>
        <v>57716286.75</v>
      </c>
      <c r="I6" s="301"/>
      <c r="J6" s="276">
        <f>H6</f>
        <v>57716286.75</v>
      </c>
      <c r="K6" s="276">
        <f>J6</f>
        <v>57716286.75</v>
      </c>
      <c r="L6" s="256"/>
      <c r="M6" s="263"/>
      <c r="N6" s="264"/>
      <c r="O6" s="264"/>
      <c r="P6" s="256" t="s">
        <v>156</v>
      </c>
    </row>
    <row r="7" spans="1:16" ht="25.5">
      <c r="A7" s="256">
        <v>295</v>
      </c>
      <c r="B7" s="272" t="s">
        <v>704</v>
      </c>
      <c r="C7" s="313" t="s">
        <v>2986</v>
      </c>
      <c r="D7" s="274" t="s">
        <v>2987</v>
      </c>
      <c r="E7" s="317" t="s">
        <v>705</v>
      </c>
      <c r="F7" s="269" t="s">
        <v>3003</v>
      </c>
      <c r="G7" s="269" t="s">
        <v>3003</v>
      </c>
      <c r="H7" s="276">
        <f>11910975+11910975</f>
        <v>23821950</v>
      </c>
      <c r="I7" s="301"/>
      <c r="J7" s="276">
        <f>H7+193552266</f>
        <v>217374216</v>
      </c>
      <c r="K7" s="276">
        <f>J7</f>
        <v>217374216</v>
      </c>
      <c r="L7" s="341"/>
      <c r="M7" s="298"/>
      <c r="N7" s="264"/>
      <c r="O7" s="264"/>
      <c r="P7" s="82" t="s">
        <v>707</v>
      </c>
    </row>
    <row r="8" spans="1:16">
      <c r="A8" s="256">
        <v>162</v>
      </c>
      <c r="B8" s="272" t="s">
        <v>405</v>
      </c>
      <c r="C8" s="313" t="s">
        <v>2986</v>
      </c>
      <c r="D8" s="274" t="s">
        <v>2987</v>
      </c>
      <c r="E8" s="317" t="s">
        <v>406</v>
      </c>
      <c r="F8" s="37" t="s">
        <v>407</v>
      </c>
      <c r="G8" s="37" t="s">
        <v>407</v>
      </c>
      <c r="H8" s="262">
        <v>6637657</v>
      </c>
      <c r="I8" s="262">
        <v>6192248.5</v>
      </c>
      <c r="J8" s="262">
        <f>3961329.9-1720102.36</f>
        <v>2241227.54</v>
      </c>
      <c r="K8" s="262"/>
      <c r="L8" s="37" t="s">
        <v>17</v>
      </c>
      <c r="M8" s="267"/>
      <c r="N8" s="264"/>
      <c r="O8" s="264"/>
      <c r="P8" s="74"/>
    </row>
    <row r="9" spans="1:16">
      <c r="A9" s="256">
        <v>163</v>
      </c>
      <c r="B9" s="272" t="s">
        <v>405</v>
      </c>
      <c r="C9" s="313" t="s">
        <v>2986</v>
      </c>
      <c r="D9" s="274" t="s">
        <v>2987</v>
      </c>
      <c r="E9" s="317" t="s">
        <v>408</v>
      </c>
      <c r="F9" s="37" t="s">
        <v>409</v>
      </c>
      <c r="G9" s="37" t="s">
        <v>409</v>
      </c>
      <c r="H9" s="262">
        <v>6153193</v>
      </c>
      <c r="I9" s="262">
        <v>0</v>
      </c>
      <c r="J9" s="262">
        <v>9058670</v>
      </c>
      <c r="K9" s="262">
        <f>SUM(J8:J9)</f>
        <v>11299897.539999999</v>
      </c>
      <c r="L9" s="37" t="s">
        <v>17</v>
      </c>
      <c r="M9" s="267"/>
      <c r="N9" s="264"/>
      <c r="O9" s="264"/>
      <c r="P9" s="74"/>
    </row>
    <row r="10" spans="1:16">
      <c r="A10" s="256">
        <v>47</v>
      </c>
      <c r="B10" s="299" t="s">
        <v>118</v>
      </c>
      <c r="C10" s="273" t="s">
        <v>2927</v>
      </c>
      <c r="D10" s="274" t="s">
        <v>2928</v>
      </c>
      <c r="E10" s="300" t="s">
        <v>2943</v>
      </c>
      <c r="F10" s="38" t="s">
        <v>2941</v>
      </c>
      <c r="G10" s="38" t="s">
        <v>2941</v>
      </c>
      <c r="H10" s="284">
        <v>7058000</v>
      </c>
      <c r="I10" s="284"/>
      <c r="J10" s="288">
        <f>7058000+7060-411116+150845-100000-420750-600000-156805-152450-120000-122456+402009+386380</f>
        <v>5920717</v>
      </c>
      <c r="K10" s="288">
        <f>J10</f>
        <v>5920717</v>
      </c>
      <c r="L10" s="256" t="s">
        <v>48</v>
      </c>
      <c r="M10" s="298" t="s">
        <v>2944</v>
      </c>
      <c r="N10" s="264"/>
      <c r="O10" s="264"/>
      <c r="P10" s="256" t="s">
        <v>120</v>
      </c>
    </row>
    <row r="11" spans="1:16">
      <c r="A11" s="256">
        <v>46</v>
      </c>
      <c r="B11" s="299" t="s">
        <v>116</v>
      </c>
      <c r="C11" s="273" t="s">
        <v>2927</v>
      </c>
      <c r="D11" s="274" t="s">
        <v>2928</v>
      </c>
      <c r="E11" s="300" t="s">
        <v>2940</v>
      </c>
      <c r="F11" s="38" t="s">
        <v>2941</v>
      </c>
      <c r="G11" s="38" t="s">
        <v>2941</v>
      </c>
      <c r="H11" s="284">
        <v>5154000</v>
      </c>
      <c r="I11" s="284"/>
      <c r="J11" s="288">
        <f>5154000+5155+116085-100000-120000-100000+348492+370280</f>
        <v>5674012</v>
      </c>
      <c r="K11" s="288">
        <f>J11</f>
        <v>5674012</v>
      </c>
      <c r="L11" s="256" t="s">
        <v>17</v>
      </c>
      <c r="M11" s="298" t="s">
        <v>2942</v>
      </c>
      <c r="N11" s="264"/>
      <c r="O11" s="264"/>
      <c r="P11" s="256"/>
    </row>
    <row r="12" spans="1:16">
      <c r="A12" s="256">
        <v>265</v>
      </c>
      <c r="B12" s="299" t="s">
        <v>623</v>
      </c>
      <c r="C12" s="313" t="s">
        <v>2986</v>
      </c>
      <c r="D12" s="274" t="s">
        <v>2987</v>
      </c>
      <c r="E12" s="300" t="s">
        <v>624</v>
      </c>
      <c r="F12" s="38" t="s">
        <v>625</v>
      </c>
      <c r="G12" s="38" t="s">
        <v>625</v>
      </c>
      <c r="H12" s="284">
        <f>7265346</f>
        <v>7265346</v>
      </c>
      <c r="I12" s="284"/>
      <c r="J12" s="288">
        <f>H12+4341373.3+805612.5+58958.2+286840+288000+297000+306900-0.01</f>
        <v>13650029.99</v>
      </c>
      <c r="K12" s="288">
        <f>J12</f>
        <v>13650029.99</v>
      </c>
      <c r="L12" s="341"/>
      <c r="M12" s="252"/>
      <c r="N12" s="264"/>
      <c r="O12" s="264"/>
      <c r="P12" s="79"/>
    </row>
    <row r="13" spans="1:16">
      <c r="A13" s="256">
        <v>268</v>
      </c>
      <c r="B13" s="299" t="s">
        <v>631</v>
      </c>
      <c r="C13" s="313" t="s">
        <v>2986</v>
      </c>
      <c r="D13" s="274" t="s">
        <v>2987</v>
      </c>
      <c r="E13" s="300" t="s">
        <v>632</v>
      </c>
      <c r="F13" s="38" t="s">
        <v>633</v>
      </c>
      <c r="G13" s="38" t="s">
        <v>633</v>
      </c>
      <c r="H13" s="284">
        <f>1066690.63</f>
        <v>1066690.6299999999</v>
      </c>
      <c r="I13" s="284"/>
      <c r="J13" s="288">
        <f>H13+1335.37+1449416.24+55728+58000+121800</f>
        <v>2752970.24</v>
      </c>
      <c r="K13" s="288">
        <f>J13</f>
        <v>2752970.24</v>
      </c>
      <c r="L13" s="341"/>
      <c r="M13" s="252"/>
      <c r="N13" s="264"/>
      <c r="O13" s="264"/>
      <c r="P13" s="79"/>
    </row>
    <row r="14" spans="1:16">
      <c r="A14" s="256">
        <v>126</v>
      </c>
      <c r="B14" s="272" t="s">
        <v>325</v>
      </c>
      <c r="C14" s="313" t="s">
        <v>2986</v>
      </c>
      <c r="D14" s="274" t="s">
        <v>2987</v>
      </c>
      <c r="E14" s="317" t="s">
        <v>326</v>
      </c>
      <c r="F14" s="37" t="s">
        <v>327</v>
      </c>
      <c r="G14" s="37" t="s">
        <v>327</v>
      </c>
      <c r="H14" s="262">
        <v>404049</v>
      </c>
      <c r="I14" s="262">
        <v>1227247</v>
      </c>
      <c r="J14" s="262">
        <v>394500</v>
      </c>
      <c r="K14" s="262">
        <f>SUM(J14)</f>
        <v>394500</v>
      </c>
      <c r="L14" s="37" t="s">
        <v>5</v>
      </c>
      <c r="M14" s="267"/>
      <c r="N14" s="264"/>
      <c r="O14" s="264"/>
      <c r="P14" s="74"/>
    </row>
    <row r="15" spans="1:16">
      <c r="A15" s="256">
        <v>112</v>
      </c>
      <c r="B15" s="272" t="s">
        <v>299</v>
      </c>
      <c r="C15" s="313" t="s">
        <v>2986</v>
      </c>
      <c r="D15" s="274" t="s">
        <v>2987</v>
      </c>
      <c r="E15" s="314" t="s">
        <v>300</v>
      </c>
      <c r="F15" s="37" t="s">
        <v>301</v>
      </c>
      <c r="G15" s="37" t="s">
        <v>301</v>
      </c>
      <c r="H15" s="262">
        <v>207376.58</v>
      </c>
      <c r="I15" s="262">
        <v>209922.08</v>
      </c>
      <c r="J15" s="262">
        <v>0.5</v>
      </c>
      <c r="K15" s="262">
        <f>SUM(J15)</f>
        <v>0.5</v>
      </c>
      <c r="L15" s="37" t="s">
        <v>5</v>
      </c>
      <c r="M15" s="267"/>
      <c r="N15" s="264"/>
      <c r="O15" s="264"/>
      <c r="P15" s="74"/>
    </row>
    <row r="16" spans="1:16">
      <c r="A16" s="256">
        <v>99</v>
      </c>
      <c r="B16" s="367" t="s">
        <v>165</v>
      </c>
      <c r="C16" s="273" t="s">
        <v>2927</v>
      </c>
      <c r="D16" s="274" t="s">
        <v>2928</v>
      </c>
      <c r="E16" s="300" t="s">
        <v>2975</v>
      </c>
      <c r="F16" s="269">
        <v>45574</v>
      </c>
      <c r="G16" s="269">
        <v>45574</v>
      </c>
      <c r="H16" s="302">
        <f>9423329760</f>
        <v>9423329760</v>
      </c>
      <c r="I16" s="301"/>
      <c r="J16" s="276">
        <f>H16+1138417833-250000000-22200000+20000+319485210</f>
        <v>10609052803</v>
      </c>
      <c r="K16" s="276">
        <f>J16</f>
        <v>10609052803</v>
      </c>
      <c r="L16" s="256"/>
      <c r="M16" s="263"/>
      <c r="N16" s="264"/>
      <c r="O16" s="264"/>
      <c r="P16" s="256" t="s">
        <v>164</v>
      </c>
    </row>
    <row r="17" spans="1:16">
      <c r="A17" s="256">
        <v>105</v>
      </c>
      <c r="B17" s="251" t="s">
        <v>165</v>
      </c>
      <c r="C17" s="265" t="s">
        <v>2927</v>
      </c>
      <c r="D17" s="266" t="s">
        <v>2928</v>
      </c>
      <c r="E17" s="268" t="s">
        <v>2981</v>
      </c>
      <c r="F17" s="269">
        <v>45601</v>
      </c>
      <c r="G17" s="269">
        <v>45601</v>
      </c>
      <c r="H17" s="304">
        <v>216419265</v>
      </c>
      <c r="I17" s="308"/>
      <c r="J17" s="309">
        <f>H17+1812821+20000</f>
        <v>218252086</v>
      </c>
      <c r="K17" s="276">
        <f>J17</f>
        <v>218252086</v>
      </c>
      <c r="L17" s="256"/>
      <c r="M17" s="263"/>
      <c r="N17" s="264"/>
      <c r="O17" s="264"/>
      <c r="P17" s="256"/>
    </row>
    <row r="18" spans="1:16" ht="15.75">
      <c r="A18" s="256">
        <v>109</v>
      </c>
      <c r="B18" s="272" t="s">
        <v>165</v>
      </c>
      <c r="C18" s="273" t="s">
        <v>2927</v>
      </c>
      <c r="D18" s="274" t="s">
        <v>2928</v>
      </c>
      <c r="E18" s="300" t="s">
        <v>2983</v>
      </c>
      <c r="F18" s="269" t="s">
        <v>2984</v>
      </c>
      <c r="G18" s="269" t="s">
        <v>2984</v>
      </c>
      <c r="H18" s="310">
        <v>834135214</v>
      </c>
      <c r="I18" s="310"/>
      <c r="J18" s="310">
        <f>715959829+13447943+104727442</f>
        <v>834135214</v>
      </c>
      <c r="K18" s="310">
        <f>J18</f>
        <v>834135214</v>
      </c>
      <c r="L18" s="256"/>
      <c r="M18" s="263"/>
      <c r="N18" s="264"/>
      <c r="O18" s="264"/>
      <c r="P18" s="256"/>
    </row>
    <row r="19" spans="1:16">
      <c r="A19" s="256">
        <v>20</v>
      </c>
      <c r="B19" s="272" t="s">
        <v>1582</v>
      </c>
      <c r="C19" s="273" t="s">
        <v>2927</v>
      </c>
      <c r="D19" s="274" t="s">
        <v>2928</v>
      </c>
      <c r="E19" s="275" t="s">
        <v>63</v>
      </c>
      <c r="F19" s="38">
        <v>43281</v>
      </c>
      <c r="G19" s="38">
        <v>43281</v>
      </c>
      <c r="H19" s="262">
        <v>1091718171</v>
      </c>
      <c r="I19" s="262"/>
      <c r="J19" s="262">
        <f>1091718171-13544000+389341-1349000+32232344-5040000+25517277-20000000+25258293-50000000-150000000+24000400+22061205+22568613+95048724</f>
        <v>1098861368</v>
      </c>
      <c r="K19" s="262"/>
      <c r="L19" s="256" t="s">
        <v>64</v>
      </c>
      <c r="M19" s="263" t="s">
        <v>65</v>
      </c>
      <c r="N19" s="279" t="s">
        <v>1226</v>
      </c>
      <c r="O19" s="264"/>
      <c r="P19" s="256"/>
    </row>
    <row r="20" spans="1:16">
      <c r="A20" s="256">
        <v>21</v>
      </c>
      <c r="B20" s="272" t="s">
        <v>1582</v>
      </c>
      <c r="C20" s="273" t="s">
        <v>2927</v>
      </c>
      <c r="D20" s="274" t="s">
        <v>2928</v>
      </c>
      <c r="E20" s="275" t="s">
        <v>66</v>
      </c>
      <c r="F20" s="38">
        <v>43360</v>
      </c>
      <c r="G20" s="38">
        <v>43360</v>
      </c>
      <c r="H20" s="262">
        <f>880591431+14016051</f>
        <v>894607482</v>
      </c>
      <c r="I20" s="262"/>
      <c r="J20" s="262">
        <f>894607482+3131126+2064793-350000000+18583195+40802093+14011341+14333601+60366602</f>
        <v>697900233</v>
      </c>
      <c r="K20" s="262"/>
      <c r="L20" s="256" t="s">
        <v>64</v>
      </c>
      <c r="M20" s="263" t="s">
        <v>67</v>
      </c>
      <c r="N20" s="279" t="s">
        <v>1226</v>
      </c>
      <c r="O20" s="264"/>
      <c r="P20" s="256"/>
    </row>
    <row r="21" spans="1:16">
      <c r="A21" s="256">
        <v>22</v>
      </c>
      <c r="B21" s="272" t="s">
        <v>1582</v>
      </c>
      <c r="C21" s="273" t="s">
        <v>2927</v>
      </c>
      <c r="D21" s="274" t="s">
        <v>2928</v>
      </c>
      <c r="E21" s="275" t="s">
        <v>68</v>
      </c>
      <c r="F21" s="38">
        <v>43373</v>
      </c>
      <c r="G21" s="38">
        <v>43373</v>
      </c>
      <c r="H21" s="262">
        <v>1473381001.8</v>
      </c>
      <c r="I21" s="262"/>
      <c r="J21" s="262">
        <f>1473381001.8+34264580.2+68992689+36262681+37096722</f>
        <v>1649997674</v>
      </c>
      <c r="K21" s="262">
        <f>J21+J20+J19</f>
        <v>3446759275</v>
      </c>
      <c r="L21" s="256" t="s">
        <v>64</v>
      </c>
      <c r="M21" s="263" t="s">
        <v>69</v>
      </c>
      <c r="N21" s="279" t="s">
        <v>1226</v>
      </c>
      <c r="O21" s="264"/>
      <c r="P21" s="256"/>
    </row>
    <row r="22" spans="1:16">
      <c r="A22" s="256">
        <v>143</v>
      </c>
      <c r="B22" s="272" t="s">
        <v>364</v>
      </c>
      <c r="C22" s="313" t="s">
        <v>2986</v>
      </c>
      <c r="D22" s="274" t="s">
        <v>2987</v>
      </c>
      <c r="E22" s="317" t="s">
        <v>365</v>
      </c>
      <c r="F22" s="37" t="s">
        <v>366</v>
      </c>
      <c r="G22" s="37" t="s">
        <v>366</v>
      </c>
      <c r="H22" s="262">
        <v>1779056.46</v>
      </c>
      <c r="I22" s="262">
        <v>0</v>
      </c>
      <c r="J22" s="262">
        <v>1994531.46</v>
      </c>
      <c r="K22" s="262">
        <f>SUM(J22)</f>
        <v>1994531.46</v>
      </c>
      <c r="L22" s="37" t="s">
        <v>17</v>
      </c>
      <c r="M22" s="267"/>
      <c r="N22" s="264"/>
      <c r="O22" s="264"/>
      <c r="P22" s="74"/>
    </row>
    <row r="23" spans="1:16">
      <c r="A23" s="256">
        <v>164</v>
      </c>
      <c r="B23" s="272" t="s">
        <v>410</v>
      </c>
      <c r="C23" s="313" t="s">
        <v>2986</v>
      </c>
      <c r="D23" s="274" t="s">
        <v>2987</v>
      </c>
      <c r="E23" s="323" t="s">
        <v>411</v>
      </c>
      <c r="F23" s="37" t="s">
        <v>363</v>
      </c>
      <c r="G23" s="37" t="s">
        <v>363</v>
      </c>
      <c r="H23" s="262">
        <v>5615148</v>
      </c>
      <c r="I23" s="262">
        <v>870930.9</v>
      </c>
      <c r="J23" s="262">
        <v>9432035.0999999996</v>
      </c>
      <c r="K23" s="262">
        <f>SUM(J23)</f>
        <v>9432035.0999999996</v>
      </c>
      <c r="L23" s="37" t="s">
        <v>17</v>
      </c>
      <c r="M23" s="267"/>
      <c r="N23" s="264"/>
      <c r="O23" s="264"/>
      <c r="P23" s="74"/>
    </row>
    <row r="24" spans="1:16">
      <c r="A24" s="256">
        <v>198</v>
      </c>
      <c r="B24" s="272" t="s">
        <v>472</v>
      </c>
      <c r="C24" s="313" t="s">
        <v>2986</v>
      </c>
      <c r="D24" s="274" t="s">
        <v>2987</v>
      </c>
      <c r="E24" s="300" t="s">
        <v>473</v>
      </c>
      <c r="F24" s="38">
        <v>41392</v>
      </c>
      <c r="G24" s="38">
        <v>41392</v>
      </c>
      <c r="H24" s="262">
        <v>5852686.8399999999</v>
      </c>
      <c r="I24" s="262">
        <v>2851982</v>
      </c>
      <c r="J24" s="262">
        <f>3658898-385000+7400+1024168-514000+421826+3300-25000+218904-25000-105000-10785-220000-400000</f>
        <v>3649711</v>
      </c>
      <c r="K24" s="262"/>
      <c r="L24" s="37" t="s">
        <v>17</v>
      </c>
      <c r="M24" s="267" t="s">
        <v>474</v>
      </c>
      <c r="N24" s="264"/>
      <c r="O24" s="264"/>
      <c r="P24" s="74"/>
    </row>
    <row r="25" spans="1:16">
      <c r="A25" s="256">
        <v>199</v>
      </c>
      <c r="B25" s="272" t="s">
        <v>472</v>
      </c>
      <c r="C25" s="313" t="s">
        <v>2986</v>
      </c>
      <c r="D25" s="274" t="s">
        <v>2987</v>
      </c>
      <c r="E25" s="300" t="s">
        <v>475</v>
      </c>
      <c r="F25" s="38">
        <v>41721</v>
      </c>
      <c r="G25" s="38">
        <v>41721</v>
      </c>
      <c r="H25" s="262">
        <v>4058358.41</v>
      </c>
      <c r="I25" s="262">
        <f>2921358.41</f>
        <v>2921358.41</v>
      </c>
      <c r="J25" s="262">
        <f>1208952-215000+274078+116935-25000+82125-25000-400000-135000</f>
        <v>882090</v>
      </c>
      <c r="K25" s="262">
        <f>J24+J25</f>
        <v>4531801</v>
      </c>
      <c r="L25" s="37" t="s">
        <v>17</v>
      </c>
      <c r="M25" s="267" t="s">
        <v>476</v>
      </c>
      <c r="N25" s="264"/>
      <c r="O25" s="264"/>
      <c r="P25" s="74"/>
    </row>
    <row r="26" spans="1:16">
      <c r="A26" s="256">
        <v>15</v>
      </c>
      <c r="B26" s="251" t="s">
        <v>38</v>
      </c>
      <c r="C26" s="265" t="s">
        <v>2927</v>
      </c>
      <c r="D26" s="266" t="s">
        <v>2928</v>
      </c>
      <c r="E26" s="268" t="s">
        <v>40</v>
      </c>
      <c r="F26" s="38" t="s">
        <v>41</v>
      </c>
      <c r="G26" s="38" t="s">
        <v>41</v>
      </c>
      <c r="H26" s="262">
        <f>493796304.94+2557568</f>
        <v>496353872.94</v>
      </c>
      <c r="I26" s="262"/>
      <c r="J26" s="262">
        <f>493796304.94+2557568-2557568-109298405-218661599-50000000+8583540-3400000-3300000-5000000-1000000-20000000-5000000-3000000-2400000-5000000-3000000-4500000-8000000-39298405+3223896.04-3000000-4349066-4349066-8698132-4349066-226152.98+226150</f>
        <v>-1.0000000032887328</v>
      </c>
      <c r="K26" s="262">
        <f>J26</f>
        <v>-1.0000000032887328</v>
      </c>
      <c r="L26" s="256" t="s">
        <v>42</v>
      </c>
      <c r="M26" s="263" t="s">
        <v>43</v>
      </c>
      <c r="N26" s="264"/>
      <c r="O26" s="264"/>
      <c r="P26" s="256"/>
    </row>
    <row r="27" spans="1:16">
      <c r="A27" s="256">
        <v>100</v>
      </c>
      <c r="B27" s="303" t="s">
        <v>1759</v>
      </c>
      <c r="C27" s="273" t="s">
        <v>2927</v>
      </c>
      <c r="D27" s="274" t="s">
        <v>2928</v>
      </c>
      <c r="E27" s="300" t="s">
        <v>2976</v>
      </c>
      <c r="F27" s="269">
        <v>45574</v>
      </c>
      <c r="G27" s="269">
        <v>45574</v>
      </c>
      <c r="H27" s="302">
        <f>4573387786</f>
        <v>4573387786</v>
      </c>
      <c r="I27" s="301"/>
      <c r="J27" s="276">
        <f>H27+790821724+20000-10000000</f>
        <v>5354229510</v>
      </c>
      <c r="K27" s="276">
        <f>J27</f>
        <v>5354229510</v>
      </c>
      <c r="L27" s="256"/>
      <c r="M27" s="263"/>
      <c r="N27" s="264"/>
      <c r="O27" s="264"/>
      <c r="P27" s="256" t="s">
        <v>164</v>
      </c>
    </row>
    <row r="28" spans="1:16">
      <c r="A28" s="256">
        <v>165</v>
      </c>
      <c r="B28" s="272" t="s">
        <v>412</v>
      </c>
      <c r="C28" s="313" t="s">
        <v>2986</v>
      </c>
      <c r="D28" s="274" t="s">
        <v>2987</v>
      </c>
      <c r="E28" s="317" t="s">
        <v>413</v>
      </c>
      <c r="F28" s="37" t="s">
        <v>414</v>
      </c>
      <c r="G28" s="37" t="s">
        <v>414</v>
      </c>
      <c r="H28" s="262">
        <v>1489100</v>
      </c>
      <c r="I28" s="262">
        <v>377000</v>
      </c>
      <c r="J28" s="262">
        <v>1240001</v>
      </c>
      <c r="K28" s="262"/>
      <c r="L28" s="37" t="s">
        <v>17</v>
      </c>
      <c r="M28" s="267"/>
      <c r="N28" s="264"/>
      <c r="O28" s="264"/>
      <c r="P28" s="74"/>
    </row>
    <row r="29" spans="1:16">
      <c r="A29" s="256">
        <v>166</v>
      </c>
      <c r="B29" s="272" t="s">
        <v>412</v>
      </c>
      <c r="C29" s="313" t="s">
        <v>2986</v>
      </c>
      <c r="D29" s="274" t="s">
        <v>2987</v>
      </c>
      <c r="E29" s="314" t="s">
        <v>415</v>
      </c>
      <c r="F29" s="261" t="s">
        <v>416</v>
      </c>
      <c r="G29" s="261" t="s">
        <v>416</v>
      </c>
      <c r="H29" s="262">
        <v>565075</v>
      </c>
      <c r="I29" s="262">
        <v>4500</v>
      </c>
      <c r="J29" s="262">
        <v>575000</v>
      </c>
      <c r="K29" s="262"/>
      <c r="L29" s="37" t="s">
        <v>17</v>
      </c>
      <c r="M29" s="267"/>
      <c r="N29" s="264"/>
      <c r="O29" s="264"/>
      <c r="P29" s="74"/>
    </row>
    <row r="30" spans="1:16">
      <c r="A30" s="256">
        <v>167</v>
      </c>
      <c r="B30" s="272" t="s">
        <v>412</v>
      </c>
      <c r="C30" s="313" t="s">
        <v>2986</v>
      </c>
      <c r="D30" s="274" t="s">
        <v>2987</v>
      </c>
      <c r="E30" s="317" t="s">
        <v>417</v>
      </c>
      <c r="F30" s="37" t="s">
        <v>418</v>
      </c>
      <c r="G30" s="37" t="s">
        <v>418</v>
      </c>
      <c r="H30" s="262">
        <v>2155728</v>
      </c>
      <c r="I30" s="262">
        <v>11382</v>
      </c>
      <c r="J30" s="262">
        <v>2200000</v>
      </c>
      <c r="K30" s="262"/>
      <c r="L30" s="37" t="s">
        <v>17</v>
      </c>
      <c r="M30" s="267"/>
      <c r="N30" s="264"/>
      <c r="O30" s="264"/>
      <c r="P30" s="74"/>
    </row>
    <row r="31" spans="1:16">
      <c r="A31" s="256">
        <v>168</v>
      </c>
      <c r="B31" s="272" t="s">
        <v>412</v>
      </c>
      <c r="C31" s="313" t="s">
        <v>2986</v>
      </c>
      <c r="D31" s="274" t="s">
        <v>2987</v>
      </c>
      <c r="E31" s="317" t="s">
        <v>419</v>
      </c>
      <c r="F31" s="38">
        <v>38515</v>
      </c>
      <c r="G31" s="38">
        <v>38515</v>
      </c>
      <c r="H31" s="262">
        <v>1931233</v>
      </c>
      <c r="I31" s="262">
        <v>0</v>
      </c>
      <c r="J31" s="262">
        <v>1969000</v>
      </c>
      <c r="K31" s="262"/>
      <c r="L31" s="37" t="s">
        <v>17</v>
      </c>
      <c r="M31" s="267"/>
      <c r="N31" s="264"/>
      <c r="O31" s="264"/>
      <c r="P31" s="74"/>
    </row>
    <row r="32" spans="1:16">
      <c r="A32" s="256">
        <v>169</v>
      </c>
      <c r="B32" s="272" t="s">
        <v>412</v>
      </c>
      <c r="C32" s="313" t="s">
        <v>2986</v>
      </c>
      <c r="D32" s="274" t="s">
        <v>2987</v>
      </c>
      <c r="E32" s="317" t="s">
        <v>420</v>
      </c>
      <c r="F32" s="38">
        <v>38545</v>
      </c>
      <c r="G32" s="38">
        <v>38545</v>
      </c>
      <c r="H32" s="262">
        <v>3052586</v>
      </c>
      <c r="I32" s="262">
        <v>0</v>
      </c>
      <c r="J32" s="262">
        <v>3100000</v>
      </c>
      <c r="K32" s="262"/>
      <c r="L32" s="37" t="s">
        <v>17</v>
      </c>
      <c r="M32" s="267"/>
      <c r="N32" s="264"/>
      <c r="O32" s="264"/>
      <c r="P32" s="74"/>
    </row>
    <row r="33" spans="1:16">
      <c r="A33" s="256">
        <v>170</v>
      </c>
      <c r="B33" s="272" t="s">
        <v>412</v>
      </c>
      <c r="C33" s="313" t="s">
        <v>2986</v>
      </c>
      <c r="D33" s="274" t="s">
        <v>2987</v>
      </c>
      <c r="E33" s="317" t="s">
        <v>421</v>
      </c>
      <c r="F33" s="37" t="s">
        <v>422</v>
      </c>
      <c r="G33" s="37" t="s">
        <v>422</v>
      </c>
      <c r="H33" s="262">
        <v>1324608.8500000001</v>
      </c>
      <c r="I33" s="262">
        <v>100064</v>
      </c>
      <c r="J33" s="262">
        <v>1200000.8500000001</v>
      </c>
      <c r="K33" s="262">
        <f>SUM(J28:J33)</f>
        <v>10284001.85</v>
      </c>
      <c r="L33" s="37" t="s">
        <v>17</v>
      </c>
      <c r="M33" s="267"/>
      <c r="N33" s="264"/>
      <c r="O33" s="264"/>
      <c r="P33" s="74"/>
    </row>
    <row r="34" spans="1:16">
      <c r="A34" s="256">
        <v>144</v>
      </c>
      <c r="B34" s="272" t="s">
        <v>367</v>
      </c>
      <c r="C34" s="313" t="s">
        <v>2986</v>
      </c>
      <c r="D34" s="274" t="s">
        <v>2987</v>
      </c>
      <c r="E34" s="317" t="s">
        <v>368</v>
      </c>
      <c r="F34" s="37" t="s">
        <v>369</v>
      </c>
      <c r="G34" s="37" t="s">
        <v>369</v>
      </c>
      <c r="H34" s="262">
        <v>621942</v>
      </c>
      <c r="I34" s="262">
        <v>0</v>
      </c>
      <c r="J34" s="262">
        <v>859949</v>
      </c>
      <c r="K34" s="262"/>
      <c r="L34" s="37" t="s">
        <v>17</v>
      </c>
      <c r="M34" s="267"/>
      <c r="N34" s="264"/>
      <c r="O34" s="264"/>
      <c r="P34" s="74"/>
    </row>
    <row r="35" spans="1:16">
      <c r="A35" s="256">
        <v>145</v>
      </c>
      <c r="B35" s="272" t="s">
        <v>367</v>
      </c>
      <c r="C35" s="313" t="s">
        <v>2986</v>
      </c>
      <c r="D35" s="274" t="s">
        <v>2987</v>
      </c>
      <c r="E35" s="317" t="s">
        <v>370</v>
      </c>
      <c r="F35" s="37" t="s">
        <v>371</v>
      </c>
      <c r="G35" s="37" t="s">
        <v>371</v>
      </c>
      <c r="H35" s="262">
        <v>2571483</v>
      </c>
      <c r="I35" s="262">
        <v>0</v>
      </c>
      <c r="J35" s="262">
        <v>3503141</v>
      </c>
      <c r="K35" s="262">
        <f>SUM(J34:J35)</f>
        <v>4363090</v>
      </c>
      <c r="L35" s="37" t="s">
        <v>17</v>
      </c>
      <c r="M35" s="267"/>
      <c r="N35" s="264"/>
      <c r="O35" s="264"/>
      <c r="P35" s="74"/>
    </row>
    <row r="36" spans="1:16">
      <c r="A36" s="256">
        <v>142</v>
      </c>
      <c r="B36" s="320" t="s">
        <v>361</v>
      </c>
      <c r="C36" s="321" t="s">
        <v>2986</v>
      </c>
      <c r="D36" s="322" t="s">
        <v>2987</v>
      </c>
      <c r="E36" s="290" t="s">
        <v>362</v>
      </c>
      <c r="F36" s="37" t="s">
        <v>363</v>
      </c>
      <c r="G36" s="37" t="s">
        <v>363</v>
      </c>
      <c r="H36" s="262">
        <v>6314254.4199999999</v>
      </c>
      <c r="I36" s="262">
        <v>1440000</v>
      </c>
      <c r="J36" s="262">
        <v>0.42</v>
      </c>
      <c r="K36" s="262">
        <f>SUM(J36)</f>
        <v>0.42</v>
      </c>
      <c r="L36" s="37" t="s">
        <v>20</v>
      </c>
      <c r="M36" s="267"/>
      <c r="N36" s="264"/>
      <c r="O36" s="264"/>
      <c r="P36" s="74"/>
    </row>
    <row r="37" spans="1:16">
      <c r="A37" s="256">
        <v>209</v>
      </c>
      <c r="B37" s="285" t="s">
        <v>493</v>
      </c>
      <c r="C37" s="315" t="s">
        <v>2986</v>
      </c>
      <c r="D37" s="266" t="s">
        <v>2987</v>
      </c>
      <c r="E37" s="268" t="s">
        <v>494</v>
      </c>
      <c r="F37" s="38">
        <v>43454</v>
      </c>
      <c r="G37" s="38">
        <v>43454</v>
      </c>
      <c r="H37" s="262">
        <f>671680.59+7933275+7555500</f>
        <v>16160455.59</v>
      </c>
      <c r="I37" s="262"/>
      <c r="J37" s="262">
        <f>671680.59+7933275+7555500-155729+48481.41+361197-2500000+352178-1100000+321807-2000000-288426+265760-1033353-3120000+173370-1000000-6514934+143351-12476-101682</f>
        <v>0</v>
      </c>
      <c r="K37" s="262">
        <f t="shared" ref="K37:K46" si="0">J37</f>
        <v>0</v>
      </c>
      <c r="L37" s="327" t="s">
        <v>73</v>
      </c>
      <c r="M37" s="337" t="s">
        <v>2993</v>
      </c>
      <c r="N37" s="264"/>
      <c r="O37" s="264"/>
      <c r="P37" s="74" t="s">
        <v>127</v>
      </c>
    </row>
    <row r="38" spans="1:16">
      <c r="A38" s="256">
        <v>306</v>
      </c>
      <c r="B38" s="299" t="s">
        <v>493</v>
      </c>
      <c r="C38" s="313" t="s">
        <v>2986</v>
      </c>
      <c r="D38" s="274" t="s">
        <v>2987</v>
      </c>
      <c r="E38" s="300" t="s">
        <v>731</v>
      </c>
      <c r="F38" s="38">
        <v>45614</v>
      </c>
      <c r="G38" s="38">
        <v>45614</v>
      </c>
      <c r="H38" s="276">
        <v>47106579.600000001</v>
      </c>
      <c r="I38" s="301"/>
      <c r="J38" s="276">
        <f>H38+20000</f>
        <v>47126579.600000001</v>
      </c>
      <c r="K38" s="276">
        <f t="shared" si="0"/>
        <v>47126579.600000001</v>
      </c>
      <c r="L38" s="341"/>
      <c r="M38" s="252"/>
      <c r="N38" s="264"/>
      <c r="O38" s="264"/>
      <c r="P38" s="82"/>
    </row>
    <row r="39" spans="1:16">
      <c r="A39" s="256">
        <v>262</v>
      </c>
      <c r="B39" s="285" t="s">
        <v>614</v>
      </c>
      <c r="C39" s="315" t="s">
        <v>2986</v>
      </c>
      <c r="D39" s="266" t="s">
        <v>2987</v>
      </c>
      <c r="E39" s="268" t="s">
        <v>615</v>
      </c>
      <c r="F39" s="38" t="s">
        <v>616</v>
      </c>
      <c r="G39" s="38" t="s">
        <v>616</v>
      </c>
      <c r="H39" s="284">
        <f>5097000 +5097000+1699000+1868900 +8499247.5 +2123817.96 +2123797.57 +722159.95 +8486505+1699000 +1112449.98+25012854.19</f>
        <v>63541732.150000006</v>
      </c>
      <c r="I39" s="284"/>
      <c r="J39" s="288">
        <f>H39-6303124+123935.85-237925-3150000-600000-55981-300000-433090+2582676-215000-2748000+1237000-607084-191087-950265+1212100-100511-477028-1000000-51328349</f>
        <v>0</v>
      </c>
      <c r="K39" s="288">
        <f t="shared" si="0"/>
        <v>0</v>
      </c>
      <c r="L39" s="341"/>
      <c r="M39" s="252"/>
      <c r="N39" s="264"/>
      <c r="O39" s="264"/>
      <c r="P39" s="74" t="s">
        <v>127</v>
      </c>
    </row>
    <row r="40" spans="1:16">
      <c r="A40" s="256">
        <v>267</v>
      </c>
      <c r="B40" s="285" t="s">
        <v>614</v>
      </c>
      <c r="C40" s="315" t="s">
        <v>2986</v>
      </c>
      <c r="D40" s="266" t="s">
        <v>2987</v>
      </c>
      <c r="E40" s="268" t="s">
        <v>629</v>
      </c>
      <c r="F40" s="38" t="s">
        <v>630</v>
      </c>
      <c r="G40" s="38" t="s">
        <v>630</v>
      </c>
      <c r="H40" s="284">
        <v>81351012.599999994</v>
      </c>
      <c r="I40" s="284"/>
      <c r="J40" s="288">
        <f>3716230.98 +3765995 +4919677.5 +4893234.5 +2900472.96 +5747087.5 +4702162.5 +4678278.5 +4396532.6 +4261161.5 +4205290 +4328548.5 +7677110.89 +4712825 +4712825 +3416587.43 +3412000 +3244607.28 +6373209.97 -4712825+2805452.34 +2566467.27 +1366442.7 +5124405.65+218210.43+4311720 +3448413.56 +2569570.39 +1283250 +512234.05 +2567052.65+2566500+1368800 +2989196.67 +1197700+4266806.25+921364.95 +513300 +2579392.39 +2575097.78-100000-6352000+2860000+2809900-126320289.69</f>
        <v>0</v>
      </c>
      <c r="K40" s="288">
        <f t="shared" si="0"/>
        <v>0</v>
      </c>
      <c r="L40" s="341"/>
      <c r="M40" s="252"/>
      <c r="N40" s="264"/>
      <c r="O40" s="264"/>
      <c r="P40" s="74" t="s">
        <v>127</v>
      </c>
    </row>
    <row r="41" spans="1:16">
      <c r="A41" s="256">
        <v>68</v>
      </c>
      <c r="B41" s="285" t="s">
        <v>139</v>
      </c>
      <c r="C41" s="265" t="s">
        <v>2927</v>
      </c>
      <c r="D41" s="266" t="s">
        <v>2928</v>
      </c>
      <c r="E41" s="268" t="s">
        <v>2953</v>
      </c>
      <c r="F41" s="38" t="s">
        <v>2954</v>
      </c>
      <c r="G41" s="38" t="s">
        <v>2954</v>
      </c>
      <c r="H41" s="284">
        <f>3062144</f>
        <v>3062144</v>
      </c>
      <c r="I41" s="284"/>
      <c r="J41" s="288">
        <f>H41+17610-3105932+26178</f>
        <v>0</v>
      </c>
      <c r="K41" s="288">
        <f t="shared" si="0"/>
        <v>0</v>
      </c>
      <c r="L41" s="256"/>
      <c r="M41" s="263"/>
      <c r="N41" s="264"/>
      <c r="O41" s="264"/>
      <c r="P41" s="256"/>
    </row>
    <row r="42" spans="1:16">
      <c r="A42" s="256">
        <v>103</v>
      </c>
      <c r="B42" s="272" t="s">
        <v>139</v>
      </c>
      <c r="C42" s="273" t="s">
        <v>2927</v>
      </c>
      <c r="D42" s="274" t="s">
        <v>2928</v>
      </c>
      <c r="E42" s="300" t="s">
        <v>2979</v>
      </c>
      <c r="F42" s="269">
        <v>45601</v>
      </c>
      <c r="G42" s="269">
        <v>45601</v>
      </c>
      <c r="H42" s="304">
        <v>56251396</v>
      </c>
      <c r="I42" s="308"/>
      <c r="J42" s="304">
        <f>56251396+10524250+20000</f>
        <v>66795646</v>
      </c>
      <c r="K42" s="276">
        <f t="shared" si="0"/>
        <v>66795646</v>
      </c>
      <c r="L42" s="256"/>
      <c r="M42" s="263"/>
      <c r="N42" s="264"/>
      <c r="O42" s="264"/>
      <c r="P42" s="256"/>
    </row>
    <row r="43" spans="1:16">
      <c r="A43" s="256">
        <v>104</v>
      </c>
      <c r="B43" s="272" t="s">
        <v>139</v>
      </c>
      <c r="C43" s="273" t="s">
        <v>2927</v>
      </c>
      <c r="D43" s="274" t="s">
        <v>2928</v>
      </c>
      <c r="E43" s="300" t="s">
        <v>2980</v>
      </c>
      <c r="F43" s="269">
        <v>45601</v>
      </c>
      <c r="G43" s="269">
        <v>45601</v>
      </c>
      <c r="H43" s="304">
        <v>102481336</v>
      </c>
      <c r="I43" s="308"/>
      <c r="J43" s="309">
        <f>H43+6621890+20000</f>
        <v>109123226</v>
      </c>
      <c r="K43" s="276">
        <f t="shared" si="0"/>
        <v>109123226</v>
      </c>
      <c r="L43" s="256"/>
      <c r="M43" s="263"/>
      <c r="N43" s="264"/>
      <c r="O43" s="264"/>
      <c r="P43" s="256"/>
    </row>
    <row r="44" spans="1:16">
      <c r="A44" s="256">
        <v>106</v>
      </c>
      <c r="B44" s="272" t="s">
        <v>139</v>
      </c>
      <c r="C44" s="273" t="s">
        <v>2927</v>
      </c>
      <c r="D44" s="274" t="s">
        <v>2928</v>
      </c>
      <c r="E44" s="300" t="s">
        <v>2982</v>
      </c>
      <c r="F44" s="269">
        <v>45614</v>
      </c>
      <c r="G44" s="269">
        <v>45614</v>
      </c>
      <c r="H44" s="304">
        <v>39700000</v>
      </c>
      <c r="I44" s="308"/>
      <c r="J44" s="309">
        <f>4070000+2179000+3685000+1977000+1743000+2187000+4816000+6812000+7830000+6261000-1860000-100000+20000</f>
        <v>39620000</v>
      </c>
      <c r="K44" s="276">
        <f t="shared" si="0"/>
        <v>39620000</v>
      </c>
      <c r="L44" s="256"/>
      <c r="M44" s="263"/>
      <c r="N44" s="264"/>
      <c r="O44" s="264"/>
      <c r="P44" s="256"/>
    </row>
    <row r="45" spans="1:16">
      <c r="A45" s="256">
        <v>24</v>
      </c>
      <c r="B45" s="285" t="s">
        <v>75</v>
      </c>
      <c r="C45" s="265" t="s">
        <v>2927</v>
      </c>
      <c r="D45" s="266" t="s">
        <v>2928</v>
      </c>
      <c r="E45" s="286" t="s">
        <v>76</v>
      </c>
      <c r="F45" s="38">
        <v>43479</v>
      </c>
      <c r="G45" s="38">
        <v>43479</v>
      </c>
      <c r="H45" s="262">
        <v>72038002.549999997</v>
      </c>
      <c r="I45" s="262"/>
      <c r="J45" s="262">
        <f>72038002.55+1386732-6000000-6000000-6000000+1629913.45-6000000-6000000-10000000-10000000-10000000-15428981+374333</f>
        <v>0</v>
      </c>
      <c r="K45" s="262">
        <f t="shared" si="0"/>
        <v>0</v>
      </c>
      <c r="L45" s="256" t="s">
        <v>53</v>
      </c>
      <c r="M45" s="263" t="s">
        <v>77</v>
      </c>
      <c r="N45" s="264"/>
      <c r="O45" s="264"/>
      <c r="P45" s="256"/>
    </row>
    <row r="46" spans="1:16">
      <c r="A46" s="256">
        <v>305</v>
      </c>
      <c r="B46" s="272" t="s">
        <v>729</v>
      </c>
      <c r="C46" s="313" t="s">
        <v>2986</v>
      </c>
      <c r="D46" s="274" t="s">
        <v>2987</v>
      </c>
      <c r="E46" s="317" t="s">
        <v>3013</v>
      </c>
      <c r="F46" s="269">
        <v>45601</v>
      </c>
      <c r="G46" s="269">
        <v>45601</v>
      </c>
      <c r="H46" s="276">
        <v>3818762</v>
      </c>
      <c r="I46" s="301"/>
      <c r="J46" s="276">
        <f>H46+484414.2+20000</f>
        <v>4323176.2</v>
      </c>
      <c r="K46" s="276">
        <f t="shared" si="0"/>
        <v>4323176.2</v>
      </c>
      <c r="L46" s="341"/>
      <c r="M46" s="298" t="s">
        <v>3014</v>
      </c>
      <c r="N46" s="264"/>
      <c r="O46" s="264"/>
      <c r="P46" s="82"/>
    </row>
    <row r="47" spans="1:16">
      <c r="A47" s="256">
        <v>302</v>
      </c>
      <c r="B47" s="251" t="s">
        <v>723</v>
      </c>
      <c r="C47" s="315" t="s">
        <v>2986</v>
      </c>
      <c r="D47" s="266" t="s">
        <v>2987</v>
      </c>
      <c r="E47" s="267" t="s">
        <v>3011</v>
      </c>
      <c r="F47" s="269">
        <v>45230</v>
      </c>
      <c r="G47" s="269">
        <v>45230</v>
      </c>
      <c r="H47" s="276">
        <f>4674150 +5370300</f>
        <v>10044450</v>
      </c>
      <c r="I47" s="301"/>
      <c r="J47" s="276">
        <f>H47+165665327.83-5668354-1400000+4472000</f>
        <v>173113423.83000001</v>
      </c>
      <c r="K47" s="276">
        <f>J47-173113423.83</f>
        <v>0</v>
      </c>
      <c r="L47" s="341"/>
      <c r="M47" s="298" t="s">
        <v>3012</v>
      </c>
      <c r="N47" s="264"/>
      <c r="O47" s="264"/>
      <c r="P47" s="82"/>
    </row>
    <row r="48" spans="1:16">
      <c r="A48" s="256">
        <v>146</v>
      </c>
      <c r="B48" s="251" t="s">
        <v>372</v>
      </c>
      <c r="C48" s="315" t="s">
        <v>2986</v>
      </c>
      <c r="D48" s="266" t="s">
        <v>2987</v>
      </c>
      <c r="E48" s="267" t="s">
        <v>373</v>
      </c>
      <c r="F48" s="37" t="s">
        <v>374</v>
      </c>
      <c r="G48" s="37" t="s">
        <v>374</v>
      </c>
      <c r="H48" s="262">
        <v>13791840</v>
      </c>
      <c r="I48" s="262">
        <v>1788870.2</v>
      </c>
      <c r="J48" s="262">
        <f>24656426.8-24656426.8</f>
        <v>0</v>
      </c>
      <c r="K48" s="262"/>
      <c r="L48" s="37" t="s">
        <v>17</v>
      </c>
      <c r="M48" s="267"/>
      <c r="N48" s="264"/>
      <c r="O48" s="264"/>
      <c r="P48" s="74"/>
    </row>
    <row r="49" spans="1:16">
      <c r="A49" s="256">
        <v>147</v>
      </c>
      <c r="B49" s="251" t="s">
        <v>372</v>
      </c>
      <c r="C49" s="315" t="s">
        <v>2986</v>
      </c>
      <c r="D49" s="266" t="s">
        <v>2987</v>
      </c>
      <c r="E49" s="267" t="s">
        <v>375</v>
      </c>
      <c r="F49" s="38">
        <v>35643</v>
      </c>
      <c r="G49" s="38">
        <v>35643</v>
      </c>
      <c r="H49" s="262">
        <v>87719</v>
      </c>
      <c r="I49" s="262">
        <v>13650</v>
      </c>
      <c r="J49" s="262">
        <f>157760-157760</f>
        <v>0</v>
      </c>
      <c r="K49" s="262"/>
      <c r="L49" s="37" t="s">
        <v>17</v>
      </c>
      <c r="M49" s="267"/>
      <c r="N49" s="264"/>
      <c r="O49" s="264"/>
      <c r="P49" s="74"/>
    </row>
    <row r="50" spans="1:16">
      <c r="A50" s="256">
        <v>148</v>
      </c>
      <c r="B50" s="251" t="s">
        <v>372</v>
      </c>
      <c r="C50" s="315" t="s">
        <v>2986</v>
      </c>
      <c r="D50" s="266" t="s">
        <v>2987</v>
      </c>
      <c r="E50" s="267" t="s">
        <v>376</v>
      </c>
      <c r="F50" s="38">
        <v>37998</v>
      </c>
      <c r="G50" s="38">
        <v>37998</v>
      </c>
      <c r="H50" s="262">
        <v>34388</v>
      </c>
      <c r="I50" s="262">
        <v>0</v>
      </c>
      <c r="J50" s="262">
        <f>34388-34388</f>
        <v>0</v>
      </c>
      <c r="K50" s="262">
        <f>SUM(J48:J50)</f>
        <v>0</v>
      </c>
      <c r="L50" s="37" t="s">
        <v>17</v>
      </c>
      <c r="M50" s="267"/>
      <c r="N50" s="264"/>
      <c r="O50" s="264"/>
      <c r="P50" s="74"/>
    </row>
    <row r="51" spans="1:16">
      <c r="A51" s="256">
        <v>13</v>
      </c>
      <c r="B51" s="272" t="s">
        <v>31</v>
      </c>
      <c r="C51" s="273" t="s">
        <v>2927</v>
      </c>
      <c r="D51" s="274" t="s">
        <v>2928</v>
      </c>
      <c r="E51" s="275" t="s">
        <v>32</v>
      </c>
      <c r="F51" s="38">
        <v>42439</v>
      </c>
      <c r="G51" s="38">
        <v>42439</v>
      </c>
      <c r="H51" s="262">
        <v>12987405.810000001</v>
      </c>
      <c r="I51" s="262"/>
      <c r="J51" s="262">
        <f>6098520-200000+814385-1100000+318574+398448+3043883</f>
        <v>9373810</v>
      </c>
      <c r="K51" s="262">
        <f>J51</f>
        <v>9373810</v>
      </c>
      <c r="L51" s="256" t="s">
        <v>17</v>
      </c>
      <c r="M51" s="263" t="s">
        <v>33</v>
      </c>
      <c r="N51" s="264"/>
      <c r="O51" s="264"/>
      <c r="P51" s="256"/>
    </row>
    <row r="52" spans="1:16">
      <c r="A52" s="256">
        <v>192</v>
      </c>
      <c r="B52" s="272" t="s">
        <v>461</v>
      </c>
      <c r="C52" s="313" t="s">
        <v>2986</v>
      </c>
      <c r="D52" s="274" t="s">
        <v>2987</v>
      </c>
      <c r="E52" s="317" t="s">
        <v>462</v>
      </c>
      <c r="F52" s="37" t="s">
        <v>463</v>
      </c>
      <c r="G52" s="37" t="s">
        <v>463</v>
      </c>
      <c r="H52" s="262">
        <v>4187202</v>
      </c>
      <c r="I52" s="262">
        <v>1565000</v>
      </c>
      <c r="J52" s="262">
        <f>12626692-1000000</f>
        <v>11626692</v>
      </c>
      <c r="K52" s="262"/>
      <c r="L52" s="37" t="s">
        <v>17</v>
      </c>
      <c r="M52" s="267"/>
      <c r="N52" s="264"/>
      <c r="O52" s="264"/>
      <c r="P52" s="74"/>
    </row>
    <row r="53" spans="1:16">
      <c r="A53" s="256">
        <v>193</v>
      </c>
      <c r="B53" s="272" t="s">
        <v>461</v>
      </c>
      <c r="C53" s="313" t="s">
        <v>2986</v>
      </c>
      <c r="D53" s="274" t="s">
        <v>2987</v>
      </c>
      <c r="E53" s="317" t="s">
        <v>464</v>
      </c>
      <c r="F53" s="37" t="s">
        <v>465</v>
      </c>
      <c r="G53" s="37" t="s">
        <v>465</v>
      </c>
      <c r="H53" s="262">
        <v>517521</v>
      </c>
      <c r="I53" s="262">
        <v>373865</v>
      </c>
      <c r="J53" s="262">
        <v>1170430</v>
      </c>
      <c r="K53" s="262"/>
      <c r="L53" s="37" t="s">
        <v>17</v>
      </c>
      <c r="M53" s="267"/>
      <c r="N53" s="264"/>
      <c r="O53" s="264"/>
      <c r="P53" s="74"/>
    </row>
    <row r="54" spans="1:16">
      <c r="A54" s="256">
        <v>194</v>
      </c>
      <c r="B54" s="272" t="s">
        <v>461</v>
      </c>
      <c r="C54" s="313" t="s">
        <v>2986</v>
      </c>
      <c r="D54" s="274" t="s">
        <v>2987</v>
      </c>
      <c r="E54" s="317" t="s">
        <v>466</v>
      </c>
      <c r="F54" s="37" t="s">
        <v>467</v>
      </c>
      <c r="G54" s="37" t="s">
        <v>467</v>
      </c>
      <c r="H54" s="262">
        <v>2582760</v>
      </c>
      <c r="I54" s="262">
        <v>760801</v>
      </c>
      <c r="J54" s="262">
        <v>6258611.8799999999</v>
      </c>
      <c r="K54" s="262">
        <f>SUM(J52:J54)</f>
        <v>19055733.879999999</v>
      </c>
      <c r="L54" s="37" t="s">
        <v>17</v>
      </c>
      <c r="M54" s="267"/>
      <c r="N54" s="264"/>
      <c r="O54" s="264"/>
      <c r="P54" s="74"/>
    </row>
    <row r="55" spans="1:16">
      <c r="A55" s="256">
        <v>266</v>
      </c>
      <c r="B55" s="285" t="s">
        <v>626</v>
      </c>
      <c r="C55" s="315" t="s">
        <v>2986</v>
      </c>
      <c r="D55" s="266" t="s">
        <v>2987</v>
      </c>
      <c r="E55" s="268" t="s">
        <v>627</v>
      </c>
      <c r="F55" s="38" t="s">
        <v>628</v>
      </c>
      <c r="G55" s="38" t="s">
        <v>628</v>
      </c>
      <c r="H55" s="284">
        <f>1359454.24</f>
        <v>1359454.24</v>
      </c>
      <c r="I55" s="284"/>
      <c r="J55" s="288">
        <f>H55+3740.76+31354+32000+33000+33600-1509000+15851</f>
        <v>0</v>
      </c>
      <c r="K55" s="288">
        <f>J55</f>
        <v>0</v>
      </c>
      <c r="L55" s="341"/>
      <c r="M55" s="252"/>
      <c r="N55" s="264"/>
      <c r="O55" s="264"/>
      <c r="P55" s="79"/>
    </row>
    <row r="56" spans="1:16">
      <c r="A56" s="256">
        <v>294</v>
      </c>
      <c r="B56" s="299" t="s">
        <v>700</v>
      </c>
      <c r="C56" s="313" t="s">
        <v>2986</v>
      </c>
      <c r="D56" s="274" t="s">
        <v>2987</v>
      </c>
      <c r="E56" s="317" t="s">
        <v>701</v>
      </c>
      <c r="F56" s="269" t="s">
        <v>702</v>
      </c>
      <c r="G56" s="269" t="s">
        <v>702</v>
      </c>
      <c r="H56" s="276">
        <f>19439412.44</f>
        <v>19439412.440000001</v>
      </c>
      <c r="I56" s="301"/>
      <c r="J56" s="276">
        <f>H56-6991214+153240</f>
        <v>12601438.440000001</v>
      </c>
      <c r="K56" s="276">
        <f>J56</f>
        <v>12601438.440000001</v>
      </c>
      <c r="L56" s="341"/>
      <c r="M56" s="298"/>
      <c r="N56" s="264"/>
      <c r="O56" s="264"/>
      <c r="P56" s="82" t="s">
        <v>703</v>
      </c>
    </row>
    <row r="57" spans="1:16">
      <c r="A57" s="256">
        <v>107</v>
      </c>
      <c r="B57" s="272" t="s">
        <v>171</v>
      </c>
      <c r="C57" s="273" t="s">
        <v>2927</v>
      </c>
      <c r="D57" s="274" t="s">
        <v>2928</v>
      </c>
      <c r="E57" s="300" t="s">
        <v>172</v>
      </c>
      <c r="F57" s="269">
        <v>45641</v>
      </c>
      <c r="G57" s="269">
        <v>45641</v>
      </c>
      <c r="H57" s="304">
        <v>2139450409</v>
      </c>
      <c r="I57" s="308"/>
      <c r="J57" s="309">
        <f>2139450409-65000000-280000000-661100000-60000000-3000000-7671812+10671812+20000</f>
        <v>1073370409</v>
      </c>
      <c r="K57" s="276">
        <f>J57</f>
        <v>1073370409</v>
      </c>
      <c r="L57" s="256"/>
      <c r="M57" s="263"/>
      <c r="N57" s="264"/>
      <c r="O57" s="264"/>
      <c r="P57" s="256"/>
    </row>
    <row r="58" spans="1:16">
      <c r="A58" s="256">
        <v>134</v>
      </c>
      <c r="B58" s="272" t="s">
        <v>328</v>
      </c>
      <c r="C58" s="313" t="s">
        <v>2986</v>
      </c>
      <c r="D58" s="274" t="s">
        <v>2987</v>
      </c>
      <c r="E58" s="317" t="s">
        <v>340</v>
      </c>
      <c r="F58" s="37" t="s">
        <v>341</v>
      </c>
      <c r="G58" s="37" t="s">
        <v>341</v>
      </c>
      <c r="H58" s="262">
        <v>1542847</v>
      </c>
      <c r="I58" s="262">
        <v>22106311</v>
      </c>
      <c r="J58" s="262">
        <v>2500000.8199999998</v>
      </c>
      <c r="K58" s="262">
        <v>2500000.8199999998</v>
      </c>
      <c r="L58" s="37" t="s">
        <v>5</v>
      </c>
      <c r="M58" s="267"/>
      <c r="N58" s="264"/>
      <c r="O58" s="264"/>
      <c r="P58" s="74"/>
    </row>
    <row r="59" spans="1:16">
      <c r="A59" s="256">
        <v>279</v>
      </c>
      <c r="B59" s="299" t="s">
        <v>659</v>
      </c>
      <c r="C59" s="313" t="s">
        <v>2986</v>
      </c>
      <c r="D59" s="274" t="s">
        <v>2987</v>
      </c>
      <c r="E59" s="317" t="s">
        <v>660</v>
      </c>
      <c r="F59" s="136" t="s">
        <v>658</v>
      </c>
      <c r="G59" s="136" t="s">
        <v>658</v>
      </c>
      <c r="H59" s="350">
        <f>582493.6 +1845218 +605500 +200328.81 +432456.75+4963156.35 +1852830 +4660394.24 -271298.85 -56868.41</f>
        <v>14814210.49</v>
      </c>
      <c r="I59" s="350"/>
      <c r="J59" s="351">
        <f>H59+248200+346500+354410+1584000-1000000-2000000+929450</f>
        <v>15276770.490000002</v>
      </c>
      <c r="K59" s="351">
        <f>J59</f>
        <v>15276770.490000002</v>
      </c>
      <c r="L59" s="352"/>
      <c r="M59" s="353"/>
      <c r="N59" s="264"/>
      <c r="O59" s="264"/>
      <c r="P59" s="167"/>
    </row>
    <row r="60" spans="1:16">
      <c r="A60" s="256">
        <v>235</v>
      </c>
      <c r="B60" s="272" t="s">
        <v>549</v>
      </c>
      <c r="C60" s="313" t="s">
        <v>2986</v>
      </c>
      <c r="D60" s="274" t="s">
        <v>2987</v>
      </c>
      <c r="E60" s="317" t="s">
        <v>546</v>
      </c>
      <c r="F60" s="38">
        <v>43796</v>
      </c>
      <c r="G60" s="38">
        <v>43796</v>
      </c>
      <c r="H60" s="262">
        <f>7634378.75+424589+424250+504169.76+979133+370078.43+509700+339902.79+1301646.37</f>
        <v>12487848.099999998</v>
      </c>
      <c r="I60" s="262"/>
      <c r="J60" s="262">
        <f>7634378.75+424589+424250+4004631.35+103262+286450-195314 +292970+296285+305245-94750-255753-100000-501576-3089900+195314+1053080</f>
        <v>10783162.1</v>
      </c>
      <c r="K60" s="262">
        <f>J60</f>
        <v>10783162.1</v>
      </c>
      <c r="L60" s="37" t="s">
        <v>85</v>
      </c>
      <c r="M60" s="267" t="s">
        <v>85</v>
      </c>
      <c r="N60" s="279"/>
      <c r="O60" s="264"/>
      <c r="P60" s="74">
        <f>K59+K60</f>
        <v>26059932.590000004</v>
      </c>
    </row>
    <row r="61" spans="1:16">
      <c r="A61" s="256">
        <v>249</v>
      </c>
      <c r="B61" s="299" t="s">
        <v>549</v>
      </c>
      <c r="C61" s="313" t="s">
        <v>2986</v>
      </c>
      <c r="D61" s="274" t="s">
        <v>2987</v>
      </c>
      <c r="E61" s="300" t="s">
        <v>579</v>
      </c>
      <c r="F61" s="38">
        <v>44080</v>
      </c>
      <c r="G61" s="38">
        <v>44080</v>
      </c>
      <c r="H61" s="284">
        <f>13966773.07</f>
        <v>13966773.07</v>
      </c>
      <c r="I61" s="284"/>
      <c r="J61" s="284">
        <f>H61+87295+323245-870293+303910.93+949520-502545-2000000+3487500</f>
        <v>15745406</v>
      </c>
      <c r="K61" s="284">
        <f>J61</f>
        <v>15745406</v>
      </c>
      <c r="L61" s="341"/>
      <c r="M61" s="252" t="s">
        <v>580</v>
      </c>
      <c r="N61" s="264"/>
      <c r="O61" s="264"/>
      <c r="P61" s="79"/>
    </row>
    <row r="62" spans="1:16">
      <c r="A62" s="256">
        <v>271</v>
      </c>
      <c r="B62" s="299" t="s">
        <v>639</v>
      </c>
      <c r="C62" s="313" t="s">
        <v>2986</v>
      </c>
      <c r="D62" s="274" t="s">
        <v>2987</v>
      </c>
      <c r="E62" s="300" t="s">
        <v>640</v>
      </c>
      <c r="F62" s="136" t="s">
        <v>641</v>
      </c>
      <c r="G62" s="136" t="s">
        <v>641</v>
      </c>
      <c r="H62" s="350">
        <f>56243509.65</f>
        <v>56243509.649999999</v>
      </c>
      <c r="I62" s="350"/>
      <c r="J62" s="351">
        <f>H62+1097000+1305000+1348900+1379880-5000000+10170450</f>
        <v>66544739.649999999</v>
      </c>
      <c r="K62" s="351">
        <f>J62</f>
        <v>66544739.649999999</v>
      </c>
      <c r="L62" s="352"/>
      <c r="M62" s="353"/>
      <c r="N62" s="264"/>
      <c r="O62" s="264"/>
      <c r="P62" s="167"/>
    </row>
    <row r="63" spans="1:16">
      <c r="A63" s="256">
        <v>206</v>
      </c>
      <c r="B63" s="280" t="s">
        <v>2991</v>
      </c>
      <c r="C63" s="328" t="s">
        <v>2986</v>
      </c>
      <c r="D63" s="282" t="s">
        <v>2987</v>
      </c>
      <c r="E63" s="329" t="s">
        <v>488</v>
      </c>
      <c r="F63" s="330">
        <v>43341</v>
      </c>
      <c r="G63" s="330">
        <v>43341</v>
      </c>
      <c r="H63" s="293">
        <v>38263496.5</v>
      </c>
      <c r="I63" s="262"/>
      <c r="J63" s="293">
        <f>38263496.5+328432+887614.5+1775903</f>
        <v>41255446</v>
      </c>
      <c r="K63" s="293"/>
      <c r="L63" s="331" t="s">
        <v>53</v>
      </c>
      <c r="M63" s="332" t="s">
        <v>489</v>
      </c>
      <c r="N63" s="279" t="s">
        <v>298</v>
      </c>
      <c r="O63" s="264"/>
      <c r="P63" s="333"/>
    </row>
    <row r="64" spans="1:16">
      <c r="A64" s="256">
        <v>207</v>
      </c>
      <c r="B64" s="280" t="s">
        <v>2991</v>
      </c>
      <c r="C64" s="328" t="s">
        <v>2986</v>
      </c>
      <c r="D64" s="282" t="s">
        <v>2987</v>
      </c>
      <c r="E64" s="329" t="s">
        <v>490</v>
      </c>
      <c r="F64" s="330">
        <v>43444</v>
      </c>
      <c r="G64" s="330">
        <v>43444</v>
      </c>
      <c r="H64" s="293">
        <f>64832929.51</f>
        <v>64832929.509999998</v>
      </c>
      <c r="I64" s="293"/>
      <c r="J64" s="293">
        <f>64832929.52+356581.48</f>
        <v>65189511</v>
      </c>
      <c r="K64" s="293"/>
      <c r="L64" s="331" t="s">
        <v>53</v>
      </c>
      <c r="M64" s="332" t="s">
        <v>491</v>
      </c>
      <c r="N64" s="279" t="s">
        <v>298</v>
      </c>
      <c r="O64" s="264"/>
      <c r="P64" s="333"/>
    </row>
    <row r="65" spans="1:16">
      <c r="A65" s="256">
        <v>208</v>
      </c>
      <c r="B65" s="280" t="s">
        <v>2991</v>
      </c>
      <c r="C65" s="328" t="s">
        <v>2986</v>
      </c>
      <c r="D65" s="282" t="s">
        <v>2987</v>
      </c>
      <c r="E65" s="334" t="s">
        <v>492</v>
      </c>
      <c r="F65" s="38">
        <v>43181</v>
      </c>
      <c r="G65" s="38">
        <v>43181</v>
      </c>
      <c r="H65" s="262">
        <f>3455971.48+1192531.14 +200551.14 +17162423+3050255 +445055+631992.38+1191482.4+647464.01 +608849.44 +839266.85+824019.75+701400 +501000 +846489.6 +512911.28 +835000+2809983.75+1252562.63+1252500+6262500 +3345636.25 +3345636.25-6538.63+1723718.06+12253.6+170-3345636.25</f>
        <v>50299448.130000003</v>
      </c>
      <c r="I65" s="262"/>
      <c r="J65" s="262">
        <f>50299448.13+181636.87-142558-533268-452496-107824-185265-18823-325272-33802-125980+1624886-61911-178534-130627-433960-22761026+1412212-606868.59-7115016-361529-2030930-1245694+511910-209437-586250+792182-760800-2500000-63799-202947-356632-100000-533791-1890403-341396-1620998-346524-414458</f>
        <v>8043456.4100000001</v>
      </c>
      <c r="K65" s="278">
        <f>J63+J64+J65</f>
        <v>114488413.41</v>
      </c>
      <c r="L65" s="37" t="s">
        <v>53</v>
      </c>
      <c r="M65" s="335" t="s">
        <v>2992</v>
      </c>
      <c r="N65" s="279" t="s">
        <v>298</v>
      </c>
      <c r="O65" s="264"/>
      <c r="P65" s="336">
        <f>-185265-18823-325272-33802-125980-61911-178534-130627-433960-22761026-606868.59-7115016-361529-2030930-1245694-209437-586250</f>
        <v>-36410924.590000004</v>
      </c>
    </row>
    <row r="66" spans="1:16">
      <c r="A66" s="256">
        <v>185</v>
      </c>
      <c r="B66" s="257" t="s">
        <v>448</v>
      </c>
      <c r="C66" s="318" t="s">
        <v>2986</v>
      </c>
      <c r="D66" s="259" t="s">
        <v>2987</v>
      </c>
      <c r="E66" s="260" t="s">
        <v>449</v>
      </c>
      <c r="F66" s="38">
        <v>39337</v>
      </c>
      <c r="G66" s="38">
        <v>39337</v>
      </c>
      <c r="H66" s="262">
        <v>10278540</v>
      </c>
      <c r="I66" s="262">
        <v>198000</v>
      </c>
      <c r="J66" s="262">
        <f>18082001+16573201+1200+16875+16875+83835+71075+17500+17000</f>
        <v>34879562</v>
      </c>
      <c r="K66" s="262"/>
      <c r="L66" s="37" t="s">
        <v>17</v>
      </c>
      <c r="M66" s="267" t="s">
        <v>2988</v>
      </c>
      <c r="N66" s="264"/>
      <c r="O66" s="264"/>
      <c r="P66" s="74"/>
    </row>
    <row r="67" spans="1:16">
      <c r="A67" s="256">
        <v>186</v>
      </c>
      <c r="B67" s="257" t="s">
        <v>448</v>
      </c>
      <c r="C67" s="318" t="s">
        <v>2986</v>
      </c>
      <c r="D67" s="259" t="s">
        <v>2987</v>
      </c>
      <c r="E67" s="260" t="s">
        <v>450</v>
      </c>
      <c r="F67" s="38">
        <v>41032</v>
      </c>
      <c r="G67" s="38">
        <v>41032</v>
      </c>
      <c r="H67" s="262">
        <v>7138734</v>
      </c>
      <c r="I67" s="262">
        <v>0</v>
      </c>
      <c r="J67" s="262">
        <f>13463150+13875+13875</f>
        <v>13490900</v>
      </c>
      <c r="K67" s="262"/>
      <c r="L67" s="37" t="s">
        <v>17</v>
      </c>
      <c r="M67" s="267" t="s">
        <v>2989</v>
      </c>
      <c r="N67" s="264"/>
      <c r="O67" s="264"/>
      <c r="P67" s="74"/>
    </row>
    <row r="68" spans="1:16">
      <c r="A68" s="256">
        <v>187</v>
      </c>
      <c r="B68" s="257" t="s">
        <v>448</v>
      </c>
      <c r="C68" s="318" t="s">
        <v>2986</v>
      </c>
      <c r="D68" s="259" t="s">
        <v>2987</v>
      </c>
      <c r="E68" s="260" t="s">
        <v>451</v>
      </c>
      <c r="F68" s="38">
        <v>41198</v>
      </c>
      <c r="G68" s="38">
        <v>41198</v>
      </c>
      <c r="H68" s="262">
        <v>7489618</v>
      </c>
      <c r="I68" s="262">
        <v>0</v>
      </c>
      <c r="J68" s="262">
        <v>13707072</v>
      </c>
      <c r="K68" s="262">
        <f>SUM(J66:J68)</f>
        <v>62077534</v>
      </c>
      <c r="L68" s="37" t="s">
        <v>17</v>
      </c>
      <c r="M68" s="267" t="s">
        <v>2990</v>
      </c>
      <c r="N68" s="264"/>
      <c r="O68" s="264"/>
      <c r="P68" s="74"/>
    </row>
    <row r="69" spans="1:16">
      <c r="A69" s="256">
        <v>1</v>
      </c>
      <c r="B69" s="257" t="s">
        <v>1</v>
      </c>
      <c r="C69" s="258" t="s">
        <v>2927</v>
      </c>
      <c r="D69" s="259" t="s">
        <v>2928</v>
      </c>
      <c r="E69" s="260" t="s">
        <v>3</v>
      </c>
      <c r="F69" s="261" t="s">
        <v>4</v>
      </c>
      <c r="G69" s="261" t="s">
        <v>4</v>
      </c>
      <c r="H69" s="262">
        <v>3468239</v>
      </c>
      <c r="I69" s="262">
        <v>2432577.38</v>
      </c>
      <c r="J69" s="262">
        <v>1</v>
      </c>
      <c r="K69" s="262"/>
      <c r="L69" s="256" t="s">
        <v>5</v>
      </c>
      <c r="M69" s="263"/>
      <c r="N69" s="264"/>
      <c r="O69" s="264"/>
      <c r="P69" s="256"/>
    </row>
    <row r="70" spans="1:16">
      <c r="A70" s="256">
        <v>35</v>
      </c>
      <c r="B70" s="294" t="s">
        <v>1832</v>
      </c>
      <c r="C70" s="258" t="s">
        <v>2927</v>
      </c>
      <c r="D70" s="259" t="s">
        <v>2928</v>
      </c>
      <c r="E70" s="295" t="s">
        <v>97</v>
      </c>
      <c r="F70" s="38">
        <v>43894</v>
      </c>
      <c r="G70" s="38">
        <v>43894</v>
      </c>
      <c r="H70" s="284">
        <v>2333690</v>
      </c>
      <c r="I70" s="291"/>
      <c r="J70" s="284">
        <v>0</v>
      </c>
      <c r="K70" s="284">
        <v>0</v>
      </c>
      <c r="L70" s="256"/>
      <c r="M70" s="263" t="s">
        <v>98</v>
      </c>
      <c r="N70" s="296" t="s">
        <v>2936</v>
      </c>
      <c r="O70" s="264"/>
      <c r="P70" s="256"/>
    </row>
    <row r="71" spans="1:16">
      <c r="A71" s="256">
        <v>36</v>
      </c>
      <c r="B71" s="294" t="s">
        <v>1832</v>
      </c>
      <c r="C71" s="258" t="s">
        <v>2927</v>
      </c>
      <c r="D71" s="259" t="s">
        <v>2928</v>
      </c>
      <c r="E71" s="295" t="s">
        <v>97</v>
      </c>
      <c r="F71" s="38">
        <v>43894</v>
      </c>
      <c r="G71" s="38">
        <v>43894</v>
      </c>
      <c r="H71" s="284">
        <f>152800000</f>
        <v>152800000</v>
      </c>
      <c r="I71" s="284"/>
      <c r="J71" s="284">
        <f>H71+1069600-2333690+3500535+3540170-350000+3647265+3642170+2333690+11470243+19826125</f>
        <v>199146108</v>
      </c>
      <c r="K71" s="284">
        <f>J71</f>
        <v>199146108</v>
      </c>
      <c r="L71" s="256" t="s">
        <v>83</v>
      </c>
      <c r="M71" s="263" t="s">
        <v>2937</v>
      </c>
      <c r="N71" s="264"/>
      <c r="O71" s="264"/>
      <c r="P71" s="256"/>
    </row>
    <row r="72" spans="1:16">
      <c r="A72" s="256">
        <v>210</v>
      </c>
      <c r="B72" s="294" t="s">
        <v>1832</v>
      </c>
      <c r="C72" s="318" t="s">
        <v>2986</v>
      </c>
      <c r="D72" s="259" t="s">
        <v>2987</v>
      </c>
      <c r="E72" s="271" t="s">
        <v>496</v>
      </c>
      <c r="F72" s="38">
        <v>43454</v>
      </c>
      <c r="G72" s="38">
        <v>43454</v>
      </c>
      <c r="H72" s="262">
        <f>44181258.05</f>
        <v>44181258.049999997</v>
      </c>
      <c r="I72" s="262"/>
      <c r="J72" s="262">
        <f>44181258.05-993885-985140+127592.95+6768.85-440000-1290000-410000-100000-100000-70000-150000-200000-40000-250000-250000-3200000+990999-1500000-4000000-750000-1004763-800000-150000+684252.15-200000-1410000-40000-122000-800000-338167-100000-420000-205556-470015-157847-400000-200000-50000+604307-100000-100000-100000-150000-50000-30000-400000-20000+564374-200000-150000-200000-25826-5365898-8205839-100713-1366173-20000+2937287</f>
        <v>11915017</v>
      </c>
      <c r="K72" s="262">
        <f>J72</f>
        <v>11915017</v>
      </c>
      <c r="L72" s="327" t="s">
        <v>497</v>
      </c>
      <c r="M72" s="252" t="s">
        <v>498</v>
      </c>
      <c r="N72" s="264"/>
      <c r="O72" s="264"/>
      <c r="P72" s="74" t="s">
        <v>2994</v>
      </c>
    </row>
    <row r="73" spans="1:16">
      <c r="A73" s="256">
        <v>240</v>
      </c>
      <c r="B73" s="294" t="s">
        <v>1832</v>
      </c>
      <c r="C73" s="318" t="s">
        <v>2986</v>
      </c>
      <c r="D73" s="259" t="s">
        <v>2987</v>
      </c>
      <c r="E73" s="295" t="s">
        <v>560</v>
      </c>
      <c r="F73" s="38">
        <v>43852</v>
      </c>
      <c r="G73" s="38">
        <v>43852</v>
      </c>
      <c r="H73" s="284">
        <v>1146587</v>
      </c>
      <c r="I73" s="284"/>
      <c r="J73" s="262">
        <v>0</v>
      </c>
      <c r="K73" s="262">
        <v>0</v>
      </c>
      <c r="L73" s="341"/>
      <c r="M73" s="252" t="s">
        <v>561</v>
      </c>
      <c r="N73" s="296" t="s">
        <v>2936</v>
      </c>
      <c r="O73" s="264"/>
      <c r="P73" s="74"/>
    </row>
    <row r="74" spans="1:16">
      <c r="A74" s="256">
        <v>211</v>
      </c>
      <c r="B74" s="294" t="s">
        <v>499</v>
      </c>
      <c r="C74" s="318" t="s">
        <v>2986</v>
      </c>
      <c r="D74" s="259" t="s">
        <v>2987</v>
      </c>
      <c r="E74" s="287" t="s">
        <v>500</v>
      </c>
      <c r="F74" s="38">
        <v>43501</v>
      </c>
      <c r="G74" s="38">
        <v>43501</v>
      </c>
      <c r="H74" s="262">
        <v>30103210.75</v>
      </c>
      <c r="I74" s="262"/>
      <c r="J74" s="262">
        <f>30103210.75-2171782-943160+378826+622601.25-1341488-3300000-200000-100000+581670-155671-100000-250000-150000-50000+531664-700000-325000+340907+523755+535800+5126719</f>
        <v>28958052</v>
      </c>
      <c r="K74" s="262">
        <f t="shared" ref="K74:K80" si="1">J74</f>
        <v>28958052</v>
      </c>
      <c r="L74" s="327" t="s">
        <v>73</v>
      </c>
      <c r="M74" s="252" t="s">
        <v>501</v>
      </c>
      <c r="N74" s="264"/>
      <c r="O74" s="264"/>
      <c r="P74" s="74"/>
    </row>
    <row r="75" spans="1:16">
      <c r="A75" s="256">
        <v>212</v>
      </c>
      <c r="B75" s="294" t="s">
        <v>499</v>
      </c>
      <c r="C75" s="318" t="s">
        <v>2986</v>
      </c>
      <c r="D75" s="259" t="s">
        <v>2987</v>
      </c>
      <c r="E75" s="287" t="s">
        <v>502</v>
      </c>
      <c r="F75" s="38">
        <v>43545</v>
      </c>
      <c r="G75" s="38">
        <v>43545</v>
      </c>
      <c r="H75" s="262">
        <f>20271164.55</f>
        <v>20271164.550000001</v>
      </c>
      <c r="I75" s="262"/>
      <c r="J75" s="262">
        <f>20271164.55+55746+462437.45-37039-781940-50000+471184-300000-50000-30000-300000-50000-150000-50000-100000-50000+452414-50000+448770+463745+474410+4539333</f>
        <v>25640225</v>
      </c>
      <c r="K75" s="262">
        <f t="shared" si="1"/>
        <v>25640225</v>
      </c>
      <c r="L75" s="327" t="s">
        <v>73</v>
      </c>
      <c r="M75" s="252" t="s">
        <v>503</v>
      </c>
      <c r="N75" s="264"/>
      <c r="O75" s="264"/>
      <c r="P75" s="74"/>
    </row>
    <row r="76" spans="1:16">
      <c r="A76" s="256">
        <v>213</v>
      </c>
      <c r="B76" s="257" t="s">
        <v>499</v>
      </c>
      <c r="C76" s="318" t="s">
        <v>2986</v>
      </c>
      <c r="D76" s="259" t="s">
        <v>2987</v>
      </c>
      <c r="E76" s="287" t="s">
        <v>504</v>
      </c>
      <c r="F76" s="38">
        <v>43590</v>
      </c>
      <c r="G76" s="38">
        <v>43590</v>
      </c>
      <c r="H76" s="262">
        <v>39003751.130000003</v>
      </c>
      <c r="I76" s="262"/>
      <c r="J76" s="262">
        <f>39003751.13+555803.87-60000-100000-50000-200000-100000+908263-50000-50000-20000-250000-50000-20000-200000-100000-110000-150000-50000-100000-100000-10000-50000-300000-50000-200000+900995-50000-100000-125000-25000-675000+873005+894630+915205+8769122</f>
        <v>49475775</v>
      </c>
      <c r="K76" s="262">
        <f t="shared" si="1"/>
        <v>49475775</v>
      </c>
      <c r="L76" s="327" t="s">
        <v>73</v>
      </c>
      <c r="M76" s="252" t="s">
        <v>505</v>
      </c>
      <c r="N76" s="264"/>
      <c r="O76" s="264"/>
      <c r="P76" s="74"/>
    </row>
    <row r="77" spans="1:16">
      <c r="A77" s="256">
        <v>241</v>
      </c>
      <c r="B77" s="294" t="s">
        <v>499</v>
      </c>
      <c r="C77" s="318" t="s">
        <v>2986</v>
      </c>
      <c r="D77" s="259" t="s">
        <v>2987</v>
      </c>
      <c r="E77" s="295" t="s">
        <v>560</v>
      </c>
      <c r="F77" s="38">
        <v>43852</v>
      </c>
      <c r="G77" s="38">
        <v>43852</v>
      </c>
      <c r="H77" s="284">
        <f>8491602+2974233.72+2956344.95</f>
        <v>14422180.670000002</v>
      </c>
      <c r="I77" s="284"/>
      <c r="J77" s="262">
        <f>H77+2125503.37+1274647.57 +2040431.04+ 4247500 +4247500 +4247754.85 +4247754.85+4248441.25 +5198940+267477.82 +419228.25 +188028.33 +2086153.68 +4016295.83+837899.23 +336402+2556995 + 2191710+721697.82 +3651801.72 +905872.82 +1346915.38+810423+1762500.13+1974706.07 +470361.35+3301955.53 +215736.47+1235920-1146587+1729279+1739355-350493+1790251+1785620.97+1146587+5577721+9715208</f>
        <v>97585675.999999985</v>
      </c>
      <c r="K77" s="262">
        <f t="shared" si="1"/>
        <v>97585675.999999985</v>
      </c>
      <c r="L77" s="341" t="s">
        <v>83</v>
      </c>
      <c r="M77" s="252" t="s">
        <v>561</v>
      </c>
      <c r="N77" s="296"/>
      <c r="O77" s="264"/>
      <c r="P77" s="74">
        <f>K76+K77</f>
        <v>147061451</v>
      </c>
    </row>
    <row r="78" spans="1:16">
      <c r="A78" s="256">
        <v>40</v>
      </c>
      <c r="B78" s="294" t="s">
        <v>107</v>
      </c>
      <c r="C78" s="258" t="s">
        <v>2927</v>
      </c>
      <c r="D78" s="259" t="s">
        <v>2928</v>
      </c>
      <c r="E78" s="271" t="s">
        <v>2938</v>
      </c>
      <c r="F78" s="38" t="s">
        <v>2939</v>
      </c>
      <c r="G78" s="38" t="s">
        <v>2939</v>
      </c>
      <c r="H78" s="291">
        <v>7387760.6200000001</v>
      </c>
      <c r="I78" s="291"/>
      <c r="J78" s="288">
        <f>H78-350000+142137+161550.38+504725+831695</f>
        <v>8677868</v>
      </c>
      <c r="K78" s="288">
        <f t="shared" si="1"/>
        <v>8677868</v>
      </c>
      <c r="L78" s="256"/>
      <c r="M78" s="263"/>
      <c r="N78" s="264"/>
      <c r="O78" s="264"/>
      <c r="P78" s="256"/>
    </row>
    <row r="79" spans="1:16">
      <c r="A79" s="256">
        <v>250</v>
      </c>
      <c r="B79" s="294" t="s">
        <v>107</v>
      </c>
      <c r="C79" s="318" t="s">
        <v>2986</v>
      </c>
      <c r="D79" s="259" t="s">
        <v>2987</v>
      </c>
      <c r="E79" s="271" t="s">
        <v>581</v>
      </c>
      <c r="F79" s="38">
        <v>44080</v>
      </c>
      <c r="G79" s="38">
        <v>44080</v>
      </c>
      <c r="H79" s="284">
        <f>47371116.2</f>
        <v>47371116.200000003</v>
      </c>
      <c r="I79" s="284"/>
      <c r="J79" s="284">
        <f>H79+1342210+304460-350000+1125485+1120350.8+3500312+6016159</f>
        <v>60430093</v>
      </c>
      <c r="K79" s="284">
        <f t="shared" si="1"/>
        <v>60430093</v>
      </c>
      <c r="L79" s="341"/>
      <c r="M79" s="252" t="s">
        <v>582</v>
      </c>
      <c r="N79" s="264"/>
      <c r="O79" s="264"/>
      <c r="P79" s="79"/>
    </row>
    <row r="80" spans="1:16">
      <c r="A80" s="256">
        <v>247</v>
      </c>
      <c r="B80" s="294" t="s">
        <v>574</v>
      </c>
      <c r="C80" s="318" t="s">
        <v>2986</v>
      </c>
      <c r="D80" s="259" t="s">
        <v>2987</v>
      </c>
      <c r="E80" s="271" t="s">
        <v>575</v>
      </c>
      <c r="F80" s="38">
        <v>43998</v>
      </c>
      <c r="G80" s="38">
        <v>43998</v>
      </c>
      <c r="H80" s="284">
        <v>99851018.030000001</v>
      </c>
      <c r="I80" s="284"/>
      <c r="J80" s="297">
        <f>99851018.03+2296575-350000+2347470+2343270.97+7321073+12583090</f>
        <v>126392497</v>
      </c>
      <c r="K80" s="343">
        <f t="shared" si="1"/>
        <v>126392497</v>
      </c>
      <c r="L80" s="341"/>
      <c r="M80" s="252" t="s">
        <v>576</v>
      </c>
      <c r="N80" s="264"/>
      <c r="O80" s="264"/>
      <c r="P80" s="79"/>
    </row>
    <row r="81" spans="1:16">
      <c r="A81" s="256">
        <v>135</v>
      </c>
      <c r="B81" s="257" t="s">
        <v>342</v>
      </c>
      <c r="C81" s="318" t="s">
        <v>2986</v>
      </c>
      <c r="D81" s="259" t="s">
        <v>2987</v>
      </c>
      <c r="E81" s="260" t="s">
        <v>343</v>
      </c>
      <c r="F81" s="38">
        <v>35708</v>
      </c>
      <c r="G81" s="38">
        <v>35708</v>
      </c>
      <c r="H81" s="262">
        <v>1492420</v>
      </c>
      <c r="I81" s="262">
        <v>175250</v>
      </c>
      <c r="J81" s="262">
        <v>7951</v>
      </c>
      <c r="K81" s="262">
        <f>SUM(J81:J81)</f>
        <v>7951</v>
      </c>
      <c r="L81" s="37" t="s">
        <v>5</v>
      </c>
      <c r="M81" s="267"/>
      <c r="N81" s="264"/>
      <c r="O81" s="264"/>
      <c r="P81" s="74"/>
    </row>
    <row r="82" spans="1:16">
      <c r="A82" s="256">
        <v>102</v>
      </c>
      <c r="B82" s="305" t="s">
        <v>169</v>
      </c>
      <c r="C82" s="265" t="s">
        <v>2927</v>
      </c>
      <c r="D82" s="266" t="s">
        <v>2928</v>
      </c>
      <c r="E82" s="267" t="s">
        <v>2978</v>
      </c>
      <c r="F82" s="269">
        <v>45601</v>
      </c>
      <c r="G82" s="269">
        <v>45601</v>
      </c>
      <c r="H82" s="306">
        <v>71461479</v>
      </c>
      <c r="I82" s="307">
        <v>45601</v>
      </c>
      <c r="J82" s="306">
        <f>71461479+4754607.18+20000</f>
        <v>76236086.180000007</v>
      </c>
      <c r="K82" s="276">
        <f t="shared" ref="K82:K92" si="2">J82</f>
        <v>76236086.180000007</v>
      </c>
      <c r="L82" s="256"/>
      <c r="M82" s="263"/>
      <c r="N82" s="264"/>
      <c r="O82" s="264"/>
      <c r="P82" s="256"/>
    </row>
    <row r="83" spans="1:16">
      <c r="A83" s="256">
        <v>94</v>
      </c>
      <c r="B83" s="257" t="s">
        <v>159</v>
      </c>
      <c r="C83" s="258" t="s">
        <v>2927</v>
      </c>
      <c r="D83" s="259" t="s">
        <v>2928</v>
      </c>
      <c r="E83" s="271" t="s">
        <v>2971</v>
      </c>
      <c r="F83" s="269">
        <v>45154</v>
      </c>
      <c r="G83" s="269">
        <v>45154</v>
      </c>
      <c r="H83" s="302">
        <f>1925266.77 +5133891.37 +2409000 +2671033.5 +1912360.5 +1984997.59 +4373940.51 +6272671.79 +4531124.59 +1343106 +1303050 +4117604.06</f>
        <v>37978046.680000007</v>
      </c>
      <c r="I83" s="301"/>
      <c r="J83" s="276">
        <f>H83+490620-1550000+978000</f>
        <v>37896666.680000007</v>
      </c>
      <c r="K83" s="276">
        <f t="shared" si="2"/>
        <v>37896666.680000007</v>
      </c>
      <c r="L83" s="256"/>
      <c r="M83" s="263"/>
      <c r="N83" s="264"/>
      <c r="O83" s="264"/>
      <c r="P83" s="256"/>
    </row>
    <row r="84" spans="1:16">
      <c r="A84" s="256">
        <v>299</v>
      </c>
      <c r="B84" s="257" t="s">
        <v>717</v>
      </c>
      <c r="C84" s="318" t="s">
        <v>2986</v>
      </c>
      <c r="D84" s="259" t="s">
        <v>2987</v>
      </c>
      <c r="E84" s="260" t="s">
        <v>3008</v>
      </c>
      <c r="F84" s="269" t="s">
        <v>716</v>
      </c>
      <c r="G84" s="269" t="s">
        <v>716</v>
      </c>
      <c r="H84" s="276">
        <f>8130375+8048250</f>
        <v>16178625</v>
      </c>
      <c r="I84" s="301"/>
      <c r="J84" s="276">
        <f>H84+2755896 +2289557.4 +2762045.52 +2773604.34 +2409017.52+2277600 +4828950 +2844153 +1232118.09 +683226.35 +3064898.43 +4327987.5 +4663057.5 +8130375 +2549707.5 +8130375 +5475000 +4185637.5 +6203175 +7020042.81+1040250 +1232118.09 +970643.04 +2732298.75 +1232310.81 +551880+5420250 +2354250 +6405750 +3473340 +5026050 +6142950+3000847.5 +4040550 +4938450 +2503170 +5026050 +4244220 +6405750 +4343865 +4635135 +2715052.5 +7368255 +4040550 +5387400+6351000 +5420250 +3832500 +2304099+4631850 +3418721.4 +3889987.5 +4872750 +3995655 +3313470+1642500 +5370975 +4189470 +4434750 +8541000 +8294625 +5529750+8712000 +4108500 +5021500 +4108500 +5021500 +5217162.5 +7200050 +4632787.5+1061276.7 +5445000 +1701480 +6935500 +2565200+329670 +1495123.3 +2986500 +613800 +2255000 +5280000 +3080000 +2104300 +391220.5 +222377.1 +236694.7 +251934.1 +5280000+2535912.5 +3426500 +6847500 +6935500+6935500 +8580000 +7694500 +1743500 +924000 +433290 +252964.8+849384.8 +423141.4 +1345575 +6391000 +6435000 +4682425 +6435000+4941630+678193.75+2719405 +2460890.25 +1154725 +2657520.58 +1869761.66+713692.98 +2309450 +3412849.96+3043777.75 +7113713.75 +335378.55 +986587.1+2983500-5000000-1152742-5000000+12022400-6120000-2420000-1227000+13321500</f>
        <v>470982792.28000015</v>
      </c>
      <c r="K84" s="276">
        <f t="shared" si="2"/>
        <v>470982792.28000015</v>
      </c>
      <c r="L84" s="342">
        <f>K84-445659684.19</f>
        <v>25323108.090000153</v>
      </c>
      <c r="M84" s="298" t="s">
        <v>3007</v>
      </c>
      <c r="N84" s="264"/>
      <c r="O84" s="264"/>
      <c r="P84" s="361">
        <f>5000000+1152742+5000000</f>
        <v>11152742</v>
      </c>
    </row>
    <row r="85" spans="1:16">
      <c r="A85" s="256">
        <v>307</v>
      </c>
      <c r="B85" s="294" t="s">
        <v>617</v>
      </c>
      <c r="C85" s="318" t="s">
        <v>2986</v>
      </c>
      <c r="D85" s="259" t="s">
        <v>2987</v>
      </c>
      <c r="E85" s="271" t="s">
        <v>732</v>
      </c>
      <c r="F85" s="38">
        <v>45634</v>
      </c>
      <c r="G85" s="38">
        <v>45634</v>
      </c>
      <c r="H85" s="284">
        <v>106026552</v>
      </c>
      <c r="I85" s="284"/>
      <c r="J85" s="288">
        <f>38825400+18508710+48692442+57691873.2+29944400+93789224.19+3045451.5+20000</f>
        <v>290517500.88999999</v>
      </c>
      <c r="K85" s="288">
        <f t="shared" si="2"/>
        <v>290517500.88999999</v>
      </c>
      <c r="L85" s="341"/>
      <c r="M85" s="252"/>
      <c r="N85" s="264"/>
      <c r="O85" s="264"/>
      <c r="P85" s="82"/>
    </row>
    <row r="86" spans="1:16">
      <c r="A86" s="256">
        <v>298</v>
      </c>
      <c r="B86" s="257" t="s">
        <v>714</v>
      </c>
      <c r="C86" s="318" t="s">
        <v>2986</v>
      </c>
      <c r="D86" s="259" t="s">
        <v>2987</v>
      </c>
      <c r="E86" s="260" t="s">
        <v>3006</v>
      </c>
      <c r="F86" s="269" t="s">
        <v>716</v>
      </c>
      <c r="G86" s="269" t="s">
        <v>716</v>
      </c>
      <c r="H86" s="276">
        <f>2705105.52 +2628008.76 +3982953 +2682785.04+4613782.5 +4536256.5+2650557 +2038890 +2738757.06 +2778672 +2844153 +2693717.52+7581506.25 +2555182.5 +4484682 +3449250 +7117500 +1430038.25 +4504392 +2562398.55 +783308.25+1924604.85 +5721375 +5721375 +1264725+358951.95 +2816887.5</f>
        <v>89169815</v>
      </c>
      <c r="I86" s="301"/>
      <c r="J86" s="276">
        <f>H86+248857.4 +1391500 +3419625+941875 +4943224 +4947800+5315750 +5202598.5+2915026.4 +2799940 +3649140 +3671085 +225500 +2798796 +2846250 +2970000 +2722500 +2475000 +3935250+2522107.5 +2539350 +256050.3 +160671.5 +3004897.5 +5146933 +3816487.4+2721950 +937860 +117521.8 +282763.8 +191177.8 +263028.7 +1331000 +3521100 +1617000 +3501025 +352275 +3613142.5 +3597797.5+2142600+406821.22 +475517.97 +1971872.5 +1200522.83 +898720.81 +686335.39 +370915.35+141213.48 +1443097.95 +407318.47 +131441.96 +162494.67 +128631.95+116025+3867516.58 +3867555.25 +3924319.1 +3315000 +3314944.75 +3313828.7 +7149620.72 +2530887.58+940139.53+2968974.78-1555113-2400000 +5983500-2472000-314785+6659800</f>
        <v>237861390.14000002</v>
      </c>
      <c r="K86" s="276">
        <f t="shared" si="2"/>
        <v>237861390.14000002</v>
      </c>
      <c r="L86" s="342">
        <v>7</v>
      </c>
      <c r="M86" s="298" t="s">
        <v>3007</v>
      </c>
      <c r="N86" s="264"/>
      <c r="O86" s="264"/>
      <c r="P86" s="82"/>
    </row>
    <row r="87" spans="1:16">
      <c r="A87" s="256">
        <v>95</v>
      </c>
      <c r="B87" s="257" t="s">
        <v>160</v>
      </c>
      <c r="C87" s="258" t="s">
        <v>2927</v>
      </c>
      <c r="D87" s="259" t="s">
        <v>2928</v>
      </c>
      <c r="E87" s="271" t="s">
        <v>2972</v>
      </c>
      <c r="F87" s="269">
        <v>45158</v>
      </c>
      <c r="G87" s="269">
        <v>45158</v>
      </c>
      <c r="H87" s="302">
        <f>32803732.54</f>
        <v>32803732.539999999</v>
      </c>
      <c r="I87" s="301"/>
      <c r="J87" s="276">
        <f>H87+386920-1328000+1786200</f>
        <v>33648852.539999999</v>
      </c>
      <c r="K87" s="276">
        <f t="shared" si="2"/>
        <v>33648852.539999999</v>
      </c>
      <c r="L87" s="256"/>
      <c r="M87" s="263"/>
      <c r="N87" s="264"/>
      <c r="O87" s="264"/>
      <c r="P87" s="256"/>
    </row>
    <row r="88" spans="1:16">
      <c r="A88" s="256">
        <v>264</v>
      </c>
      <c r="B88" s="294" t="s">
        <v>620</v>
      </c>
      <c r="C88" s="318" t="s">
        <v>2986</v>
      </c>
      <c r="D88" s="259" t="s">
        <v>2987</v>
      </c>
      <c r="E88" s="271" t="s">
        <v>621</v>
      </c>
      <c r="F88" s="38" t="s">
        <v>622</v>
      </c>
      <c r="G88" s="38" t="s">
        <v>622</v>
      </c>
      <c r="H88" s="284">
        <f>11998798.43</f>
        <v>11998798.43</v>
      </c>
      <c r="I88" s="284"/>
      <c r="J88" s="288">
        <f>H88-5072379.91+39830.09+160224+161000+165800+171500-200000-352265+166810-1300000-400000</f>
        <v>5539317.6099999994</v>
      </c>
      <c r="K88" s="288">
        <f t="shared" si="2"/>
        <v>5539317.6099999994</v>
      </c>
      <c r="L88" s="341"/>
      <c r="M88" s="252"/>
      <c r="N88" s="264"/>
      <c r="O88" s="264"/>
      <c r="P88" s="79"/>
    </row>
    <row r="89" spans="1:16">
      <c r="A89" s="256">
        <v>270</v>
      </c>
      <c r="B89" s="294" t="s">
        <v>620</v>
      </c>
      <c r="C89" s="318" t="s">
        <v>2986</v>
      </c>
      <c r="D89" s="259" t="s">
        <v>2987</v>
      </c>
      <c r="E89" s="271" t="s">
        <v>638</v>
      </c>
      <c r="F89" s="38">
        <v>44503</v>
      </c>
      <c r="G89" s="38">
        <v>44503</v>
      </c>
      <c r="H89" s="284">
        <f>4290000+4290000+2709606.9+8580000+1287000+1534104 +747446.7 +312097.5 +2922354.01 +794979.9 +5148000</f>
        <v>32615589.009999998</v>
      </c>
      <c r="I89" s="284"/>
      <c r="J89" s="288">
        <f>H89+481080+745000+770000+796100-500000</f>
        <v>34907769.009999998</v>
      </c>
      <c r="K89" s="288">
        <f t="shared" si="2"/>
        <v>34907769.009999998</v>
      </c>
      <c r="L89" s="341"/>
      <c r="M89" s="252"/>
      <c r="N89" s="264"/>
      <c r="O89" s="264"/>
      <c r="P89" s="79"/>
    </row>
    <row r="90" spans="1:16">
      <c r="A90" s="256">
        <v>288</v>
      </c>
      <c r="B90" s="294" t="s">
        <v>620</v>
      </c>
      <c r="C90" s="318" t="s">
        <v>2986</v>
      </c>
      <c r="D90" s="259" t="s">
        <v>2987</v>
      </c>
      <c r="E90" s="260" t="s">
        <v>3001</v>
      </c>
      <c r="F90" s="38" t="s">
        <v>686</v>
      </c>
      <c r="G90" s="38" t="s">
        <v>686</v>
      </c>
      <c r="H90" s="288">
        <f>3170115 +2892846.45 +2985825.65</f>
        <v>9048787.0999999996</v>
      </c>
      <c r="I90" s="284"/>
      <c r="J90" s="288">
        <f>H90+124500</f>
        <v>9173287.0999999996</v>
      </c>
      <c r="K90" s="288">
        <f t="shared" si="2"/>
        <v>9173287.0999999996</v>
      </c>
      <c r="L90" s="341"/>
      <c r="M90" s="298" t="s">
        <v>3002</v>
      </c>
      <c r="N90" s="264"/>
      <c r="O90" s="264"/>
      <c r="P90" s="79"/>
    </row>
    <row r="91" spans="1:16">
      <c r="A91" s="256">
        <v>108</v>
      </c>
      <c r="B91" s="257" t="s">
        <v>173</v>
      </c>
      <c r="C91" s="258" t="s">
        <v>2927</v>
      </c>
      <c r="D91" s="259" t="s">
        <v>2928</v>
      </c>
      <c r="E91" s="271" t="s">
        <v>174</v>
      </c>
      <c r="F91" s="269">
        <v>45643</v>
      </c>
      <c r="G91" s="269">
        <v>45643</v>
      </c>
      <c r="H91" s="304">
        <v>91965117.549999997</v>
      </c>
      <c r="I91" s="308"/>
      <c r="J91" s="304">
        <f>91965117.55+513500</f>
        <v>92478617.549999997</v>
      </c>
      <c r="K91" s="276">
        <f t="shared" si="2"/>
        <v>92478617.549999997</v>
      </c>
      <c r="L91" s="256"/>
      <c r="M91" s="263"/>
      <c r="N91" s="264"/>
      <c r="O91" s="264"/>
      <c r="P91" s="256"/>
    </row>
    <row r="92" spans="1:16">
      <c r="A92" s="256">
        <v>97</v>
      </c>
      <c r="B92" s="257" t="s">
        <v>162</v>
      </c>
      <c r="C92" s="258" t="s">
        <v>2927</v>
      </c>
      <c r="D92" s="259" t="s">
        <v>2928</v>
      </c>
      <c r="E92" s="271" t="s">
        <v>2973</v>
      </c>
      <c r="F92" s="269">
        <v>45182</v>
      </c>
      <c r="G92" s="269">
        <v>45182</v>
      </c>
      <c r="H92" s="302">
        <f>28876958.96</f>
        <v>28876958.960000001</v>
      </c>
      <c r="I92" s="301"/>
      <c r="J92" s="276">
        <f>H92+97320</f>
        <v>28974278.960000001</v>
      </c>
      <c r="K92" s="276">
        <f t="shared" si="2"/>
        <v>28974278.960000001</v>
      </c>
      <c r="L92" s="256"/>
      <c r="M92" s="263"/>
      <c r="N92" s="264"/>
      <c r="O92" s="264"/>
      <c r="P92" s="256"/>
    </row>
    <row r="93" spans="1:16">
      <c r="A93" s="256">
        <v>176</v>
      </c>
      <c r="B93" s="257" t="s">
        <v>432</v>
      </c>
      <c r="C93" s="318" t="s">
        <v>2986</v>
      </c>
      <c r="D93" s="259" t="s">
        <v>2987</v>
      </c>
      <c r="E93" s="277" t="s">
        <v>433</v>
      </c>
      <c r="F93" s="37" t="s">
        <v>434</v>
      </c>
      <c r="G93" s="37" t="s">
        <v>434</v>
      </c>
      <c r="H93" s="262">
        <v>1648359</v>
      </c>
      <c r="I93" s="262">
        <v>1921105</v>
      </c>
      <c r="J93" s="262">
        <v>437227.69</v>
      </c>
      <c r="K93" s="262"/>
      <c r="L93" s="37" t="s">
        <v>17</v>
      </c>
      <c r="M93" s="267"/>
      <c r="N93" s="264"/>
      <c r="O93" s="264"/>
      <c r="P93" s="74"/>
    </row>
    <row r="94" spans="1:16">
      <c r="A94" s="256">
        <v>177</v>
      </c>
      <c r="B94" s="257" t="s">
        <v>432</v>
      </c>
      <c r="C94" s="318" t="s">
        <v>2986</v>
      </c>
      <c r="D94" s="259" t="s">
        <v>2987</v>
      </c>
      <c r="E94" s="260" t="s">
        <v>435</v>
      </c>
      <c r="F94" s="38">
        <v>35470</v>
      </c>
      <c r="G94" s="38">
        <v>35470</v>
      </c>
      <c r="H94" s="262">
        <v>3053849</v>
      </c>
      <c r="I94" s="262">
        <v>1294501.1299999999</v>
      </c>
      <c r="J94" s="262">
        <v>2523687.87</v>
      </c>
      <c r="K94" s="262"/>
      <c r="L94" s="37" t="s">
        <v>17</v>
      </c>
      <c r="M94" s="267"/>
      <c r="N94" s="264"/>
      <c r="O94" s="264"/>
      <c r="P94" s="74"/>
    </row>
    <row r="95" spans="1:16">
      <c r="A95" s="256">
        <v>178</v>
      </c>
      <c r="B95" s="257" t="s">
        <v>432</v>
      </c>
      <c r="C95" s="318" t="s">
        <v>2986</v>
      </c>
      <c r="D95" s="259" t="s">
        <v>2987</v>
      </c>
      <c r="E95" s="277" t="s">
        <v>436</v>
      </c>
      <c r="F95" s="37" t="s">
        <v>437</v>
      </c>
      <c r="G95" s="37" t="s">
        <v>437</v>
      </c>
      <c r="H95" s="262">
        <v>490715</v>
      </c>
      <c r="I95" s="262">
        <v>100000</v>
      </c>
      <c r="J95" s="262">
        <v>542420</v>
      </c>
      <c r="K95" s="262"/>
      <c r="L95" s="37" t="s">
        <v>17</v>
      </c>
      <c r="M95" s="267"/>
      <c r="N95" s="264"/>
      <c r="O95" s="264"/>
      <c r="P95" s="74"/>
    </row>
    <row r="96" spans="1:16">
      <c r="A96" s="256">
        <v>179</v>
      </c>
      <c r="B96" s="257" t="s">
        <v>432</v>
      </c>
      <c r="C96" s="318" t="s">
        <v>2986</v>
      </c>
      <c r="D96" s="259" t="s">
        <v>2987</v>
      </c>
      <c r="E96" s="319" t="s">
        <v>438</v>
      </c>
      <c r="F96" s="37" t="s">
        <v>439</v>
      </c>
      <c r="G96" s="37" t="s">
        <v>439</v>
      </c>
      <c r="H96" s="262">
        <v>883407</v>
      </c>
      <c r="I96" s="262">
        <v>100000</v>
      </c>
      <c r="J96" s="262">
        <v>978038</v>
      </c>
      <c r="K96" s="262">
        <f>SUM(J93:J96)</f>
        <v>4481373.5600000005</v>
      </c>
      <c r="L96" s="37" t="s">
        <v>17</v>
      </c>
      <c r="M96" s="267"/>
      <c r="N96" s="264"/>
      <c r="O96" s="264"/>
      <c r="P96" s="74"/>
    </row>
    <row r="97" spans="1:16">
      <c r="A97" s="256">
        <v>175</v>
      </c>
      <c r="B97" s="257" t="s">
        <v>430</v>
      </c>
      <c r="C97" s="318" t="s">
        <v>2986</v>
      </c>
      <c r="D97" s="259" t="s">
        <v>2987</v>
      </c>
      <c r="E97" s="260" t="s">
        <v>431</v>
      </c>
      <c r="F97" s="37" t="s">
        <v>360</v>
      </c>
      <c r="G97" s="37" t="s">
        <v>360</v>
      </c>
      <c r="H97" s="262">
        <v>1984347</v>
      </c>
      <c r="I97" s="262">
        <v>491175</v>
      </c>
      <c r="J97" s="262">
        <f>1814213</f>
        <v>1814213</v>
      </c>
      <c r="K97" s="262">
        <f>SUM(J97)</f>
        <v>1814213</v>
      </c>
      <c r="L97" s="37" t="s">
        <v>17</v>
      </c>
      <c r="M97" s="267"/>
      <c r="N97" s="264"/>
      <c r="O97" s="264"/>
      <c r="P97" s="74"/>
    </row>
    <row r="98" spans="1:16">
      <c r="A98" s="256">
        <v>98</v>
      </c>
      <c r="B98" s="257" t="s">
        <v>2594</v>
      </c>
      <c r="C98" s="258" t="s">
        <v>2927</v>
      </c>
      <c r="D98" s="259" t="s">
        <v>2928</v>
      </c>
      <c r="E98" s="271" t="s">
        <v>2974</v>
      </c>
      <c r="F98" s="269">
        <v>45299</v>
      </c>
      <c r="G98" s="269">
        <v>45299</v>
      </c>
      <c r="H98" s="302">
        <f>27600010 +157317473 +16626154</f>
        <v>201543637</v>
      </c>
      <c r="I98" s="301"/>
      <c r="J98" s="276">
        <f>H98+5477000+13148800+3637701-373567-168960-4290503+20000</f>
        <v>218994108</v>
      </c>
      <c r="K98" s="276">
        <f>J98</f>
        <v>218994108</v>
      </c>
      <c r="L98" s="256"/>
      <c r="M98" s="263"/>
      <c r="N98" s="264"/>
      <c r="O98" s="264"/>
      <c r="P98" s="256" t="s">
        <v>164</v>
      </c>
    </row>
    <row r="99" spans="1:16">
      <c r="A99" s="256">
        <v>322</v>
      </c>
      <c r="B99" s="363" t="s">
        <v>1428</v>
      </c>
      <c r="C99" s="364" t="s">
        <v>3015</v>
      </c>
      <c r="D99" s="259" t="s">
        <v>3016</v>
      </c>
      <c r="E99" s="365" t="s">
        <v>3017</v>
      </c>
      <c r="F99" s="12" t="s">
        <v>3018</v>
      </c>
      <c r="G99" s="12" t="str">
        <f>F99</f>
        <v>,08-01-2024</v>
      </c>
      <c r="H99" s="13">
        <f>57820073.55 +55394215 +9383487.25</f>
        <v>122597775.8</v>
      </c>
      <c r="I99" s="13"/>
      <c r="J99" s="14">
        <f>H99-8965000-4035000+3307600-1117706.44-1619754.86+3434400-769430.87-1460184+3274610+347155+20000</f>
        <v>115014464.63</v>
      </c>
      <c r="K99" s="26">
        <f>J99</f>
        <v>115014464.63</v>
      </c>
      <c r="L99" s="326"/>
      <c r="M99" s="263"/>
      <c r="N99" s="10" t="s">
        <v>1887</v>
      </c>
      <c r="O99" s="264"/>
      <c r="P99" s="362" t="s">
        <v>3019</v>
      </c>
    </row>
    <row r="100" spans="1:16">
      <c r="A100" s="256">
        <v>82</v>
      </c>
      <c r="B100" s="257" t="s">
        <v>128</v>
      </c>
      <c r="C100" s="258" t="s">
        <v>2927</v>
      </c>
      <c r="D100" s="259" t="s">
        <v>2928</v>
      </c>
      <c r="E100" s="271" t="s">
        <v>2962</v>
      </c>
      <c r="F100" s="38" t="s">
        <v>2963</v>
      </c>
      <c r="G100" s="38" t="s">
        <v>2963</v>
      </c>
      <c r="H100" s="284">
        <f>31989505.35 +13558130.59 +5902844.88 +19734314.55+13913333.79 +45734562.45 +35210477.99 +23718943.95</f>
        <v>189762113.54999998</v>
      </c>
      <c r="I100" s="284"/>
      <c r="J100" s="288">
        <f>H100+1139000+4343000+4490700+4593900</f>
        <v>204328713.54999998</v>
      </c>
      <c r="K100" s="288">
        <f>J100</f>
        <v>204328713.54999998</v>
      </c>
      <c r="L100" s="256"/>
      <c r="M100" s="263"/>
      <c r="N100" s="264"/>
      <c r="O100" s="264"/>
      <c r="P100" s="256"/>
    </row>
    <row r="101" spans="1:16">
      <c r="A101" s="256">
        <v>88</v>
      </c>
      <c r="B101" s="257" t="s">
        <v>128</v>
      </c>
      <c r="C101" s="258" t="s">
        <v>2927</v>
      </c>
      <c r="D101" s="259" t="s">
        <v>2928</v>
      </c>
      <c r="E101" s="271" t="s">
        <v>2968</v>
      </c>
      <c r="F101" s="38">
        <v>45077</v>
      </c>
      <c r="G101" s="38">
        <v>45077</v>
      </c>
      <c r="H101" s="297">
        <f>49966828.61 +52364134.15 +33132820.36 +33026575.89 +34566810.76 +31933603.43 +63296000 +44300000 +2936005.28 +41599093.05 +18939039.01 +48289803.59 +23513727.76 +12402781.81 +49828845.07 +32721009.33+16790242.8 +32579476.81 +47871573.03 +40968207.27 +5062406.89 +6251966.37</f>
        <v>722340951.26999986</v>
      </c>
      <c r="I101" s="284"/>
      <c r="J101" s="288">
        <f>H101+5449000</f>
        <v>727789951.26999986</v>
      </c>
      <c r="K101" s="288">
        <f>J101</f>
        <v>727789951.26999986</v>
      </c>
      <c r="L101" s="256"/>
      <c r="M101" s="263"/>
      <c r="N101" s="264"/>
      <c r="O101" s="264"/>
      <c r="P101" s="256"/>
    </row>
    <row r="102" spans="1:16">
      <c r="A102" s="256">
        <v>58</v>
      </c>
      <c r="B102" s="285" t="s">
        <v>130</v>
      </c>
      <c r="C102" s="265" t="s">
        <v>2927</v>
      </c>
      <c r="D102" s="266" t="s">
        <v>2928</v>
      </c>
      <c r="E102" s="268" t="s">
        <v>1132</v>
      </c>
      <c r="F102" s="38">
        <v>44312</v>
      </c>
      <c r="G102" s="38" t="s">
        <v>1133</v>
      </c>
      <c r="H102" s="284">
        <f>85239536.45</f>
        <v>85239536.450000003</v>
      </c>
      <c r="I102" s="284"/>
      <c r="J102" s="288">
        <f>H102-2500000+1393330.55-1000000-1500000+3801112</f>
        <v>85433979</v>
      </c>
      <c r="K102" s="288">
        <f>J102-85433979</f>
        <v>0</v>
      </c>
      <c r="L102" s="256" t="s">
        <v>48</v>
      </c>
      <c r="M102" s="263"/>
      <c r="N102" s="264"/>
      <c r="O102" s="264"/>
      <c r="P102" s="256"/>
    </row>
    <row r="103" spans="1:16">
      <c r="A103" s="256">
        <v>191</v>
      </c>
      <c r="B103" s="257" t="s">
        <v>458</v>
      </c>
      <c r="C103" s="318" t="s">
        <v>2986</v>
      </c>
      <c r="D103" s="259" t="s">
        <v>2987</v>
      </c>
      <c r="E103" s="287" t="s">
        <v>459</v>
      </c>
      <c r="F103" s="38" t="s">
        <v>460</v>
      </c>
      <c r="G103" s="38" t="s">
        <v>460</v>
      </c>
      <c r="H103" s="262">
        <v>28474693.32</v>
      </c>
      <c r="I103" s="262">
        <v>5253585</v>
      </c>
      <c r="J103" s="262">
        <v>68249430.019999996</v>
      </c>
      <c r="K103" s="262">
        <f>SUM(J103)</f>
        <v>68249430.019999996</v>
      </c>
      <c r="L103" s="37" t="s">
        <v>17</v>
      </c>
      <c r="M103" s="267"/>
      <c r="N103" s="264"/>
      <c r="O103" s="264"/>
      <c r="P103" s="74"/>
    </row>
    <row r="104" spans="1:16">
      <c r="A104" s="256">
        <v>200</v>
      </c>
      <c r="B104" s="257" t="s">
        <v>477</v>
      </c>
      <c r="C104" s="318" t="s">
        <v>2986</v>
      </c>
      <c r="D104" s="259" t="s">
        <v>2987</v>
      </c>
      <c r="E104" s="271" t="s">
        <v>478</v>
      </c>
      <c r="F104" s="38">
        <v>41991</v>
      </c>
      <c r="G104" s="38">
        <v>41991</v>
      </c>
      <c r="H104" s="262">
        <f>4943940+1965000+943200</f>
        <v>7852140</v>
      </c>
      <c r="I104" s="262"/>
      <c r="J104" s="262">
        <f>22576+4943940+1965000+943200+45498.36+1000+297045.64+638587+672880.5+394804.5</f>
        <v>9924532</v>
      </c>
      <c r="K104" s="262"/>
      <c r="L104" s="37" t="s">
        <v>17</v>
      </c>
      <c r="M104" s="267"/>
      <c r="N104" s="264"/>
      <c r="O104" s="264"/>
      <c r="P104" s="74"/>
    </row>
    <row r="105" spans="1:16">
      <c r="A105" s="256">
        <v>201</v>
      </c>
      <c r="B105" s="257" t="s">
        <v>477</v>
      </c>
      <c r="C105" s="318" t="s">
        <v>2986</v>
      </c>
      <c r="D105" s="259" t="s">
        <v>2987</v>
      </c>
      <c r="E105" s="271" t="s">
        <v>479</v>
      </c>
      <c r="F105" s="38">
        <v>42106</v>
      </c>
      <c r="G105" s="38">
        <v>42106</v>
      </c>
      <c r="H105" s="262">
        <f>2253+979523</f>
        <v>981776</v>
      </c>
      <c r="I105" s="262"/>
      <c r="J105" s="262">
        <f>981776+32317+71615+80358.85+27975.15</f>
        <v>1194042</v>
      </c>
      <c r="K105" s="262">
        <f>J104+J105</f>
        <v>11118574</v>
      </c>
      <c r="L105" s="37" t="s">
        <v>17</v>
      </c>
      <c r="M105" s="267"/>
      <c r="N105" s="264"/>
      <c r="O105" s="264"/>
      <c r="P105" s="74"/>
    </row>
    <row r="106" spans="1:16">
      <c r="A106" s="256">
        <v>282</v>
      </c>
      <c r="B106" s="294" t="s">
        <v>666</v>
      </c>
      <c r="C106" s="318" t="s">
        <v>2986</v>
      </c>
      <c r="D106" s="259" t="s">
        <v>2987</v>
      </c>
      <c r="E106" s="260" t="s">
        <v>667</v>
      </c>
      <c r="F106" s="136" t="s">
        <v>668</v>
      </c>
      <c r="G106" s="136" t="s">
        <v>668</v>
      </c>
      <c r="H106" s="350">
        <f>8386013.37 +9989624.82 +2103007.11 +1932859.65 +5003216.22+7002146.4 +4016257.5 +3067570.47 +1726052.22 +10023720.69</f>
        <v>53250468.449999996</v>
      </c>
      <c r="I106" s="350"/>
      <c r="J106" s="351">
        <f>H106-460593+542000+1226640-7128742+57910</f>
        <v>47487683.449999996</v>
      </c>
      <c r="K106" s="351">
        <f t="shared" ref="K106:K113" si="3">J106</f>
        <v>47487683.449999996</v>
      </c>
      <c r="L106" s="352"/>
      <c r="M106" s="353"/>
      <c r="N106" s="264"/>
      <c r="O106" s="264"/>
      <c r="P106" s="167"/>
    </row>
    <row r="107" spans="1:16">
      <c r="A107" s="256">
        <v>269</v>
      </c>
      <c r="B107" s="294" t="s">
        <v>634</v>
      </c>
      <c r="C107" s="318" t="s">
        <v>2986</v>
      </c>
      <c r="D107" s="259" t="s">
        <v>2987</v>
      </c>
      <c r="E107" s="271" t="s">
        <v>636</v>
      </c>
      <c r="F107" s="269" t="s">
        <v>637</v>
      </c>
      <c r="G107" s="269" t="s">
        <v>637</v>
      </c>
      <c r="H107" s="301">
        <f>3613182.86 +363852.71 +69825.91+4707649.68+4526021.04+4420796.25 +4758239.67 +1773023.75 +3905357.5 +7374581.1+990968.43 +3883970</f>
        <v>40387468.899999999</v>
      </c>
      <c r="I107" s="301"/>
      <c r="J107" s="276">
        <f>H107+3347674.16+5882542.05 +2235594.31 +6332022.6+7145818.69+1135623.21 +7169226.88-8864547-3653220-3671709-2838786+1025006.2-2115617-2990845-1620018+1304517-4112811-178565+1046000-1540921-175000-100000+1048000-843300-112440+1047980-6491400+990020+52416+29625</f>
        <v>40870356</v>
      </c>
      <c r="K107" s="276">
        <f t="shared" si="3"/>
        <v>40870356</v>
      </c>
      <c r="L107" s="341"/>
      <c r="M107" s="252"/>
      <c r="N107" s="264"/>
      <c r="O107" s="264"/>
      <c r="P107" s="82" t="s">
        <v>48</v>
      </c>
    </row>
    <row r="108" spans="1:16">
      <c r="A108" s="256">
        <v>278</v>
      </c>
      <c r="B108" s="294" t="s">
        <v>634</v>
      </c>
      <c r="C108" s="318" t="s">
        <v>2986</v>
      </c>
      <c r="D108" s="259" t="s">
        <v>2987</v>
      </c>
      <c r="E108" s="260" t="s">
        <v>657</v>
      </c>
      <c r="F108" s="136" t="s">
        <v>658</v>
      </c>
      <c r="G108" s="136" t="s">
        <v>658</v>
      </c>
      <c r="H108" s="350">
        <f>7127464.54 +7858755 +6681092.33 +6037500+7298949.38 +6339406.05 +3324937.5 +7327436.03 +4015059.11 +3196469.7+115000</f>
        <v>59322069.640000001</v>
      </c>
      <c r="I108" s="350"/>
      <c r="J108" s="351">
        <f>H108+993700+1387300+1419180</f>
        <v>63122249.640000001</v>
      </c>
      <c r="K108" s="351">
        <f t="shared" si="3"/>
        <v>63122249.640000001</v>
      </c>
      <c r="L108" s="352"/>
      <c r="M108" s="353"/>
      <c r="N108" s="264"/>
      <c r="O108" s="264"/>
      <c r="P108" s="167"/>
    </row>
    <row r="109" spans="1:16">
      <c r="A109" s="256">
        <v>48</v>
      </c>
      <c r="B109" s="294" t="s">
        <v>121</v>
      </c>
      <c r="C109" s="258" t="s">
        <v>2927</v>
      </c>
      <c r="D109" s="259" t="s">
        <v>2928</v>
      </c>
      <c r="E109" s="271" t="s">
        <v>2945</v>
      </c>
      <c r="F109" s="38">
        <v>44195</v>
      </c>
      <c r="G109" s="38">
        <v>44195</v>
      </c>
      <c r="H109" s="284">
        <f>9594948.99</f>
        <v>9594948.9900000002</v>
      </c>
      <c r="I109" s="284"/>
      <c r="J109" s="288">
        <f>H109-909200+215210.01-7220-100000-1163123.2-5215169-185000+510073+191400+52612+29625</f>
        <v>3014156.8</v>
      </c>
      <c r="K109" s="288">
        <f t="shared" si="3"/>
        <v>3014156.8</v>
      </c>
      <c r="L109" s="256" t="s">
        <v>17</v>
      </c>
      <c r="M109" s="298" t="s">
        <v>2946</v>
      </c>
      <c r="N109" s="264"/>
      <c r="O109" s="264"/>
      <c r="P109" s="256" t="s">
        <v>123</v>
      </c>
    </row>
    <row r="110" spans="1:16">
      <c r="A110" s="256">
        <v>60</v>
      </c>
      <c r="B110" s="294" t="s">
        <v>121</v>
      </c>
      <c r="C110" s="258" t="s">
        <v>2927</v>
      </c>
      <c r="D110" s="259" t="s">
        <v>2928</v>
      </c>
      <c r="E110" s="271" t="s">
        <v>2951</v>
      </c>
      <c r="F110" s="38" t="s">
        <v>2952</v>
      </c>
      <c r="G110" s="38" t="s">
        <v>2952</v>
      </c>
      <c r="H110" s="284">
        <f>26850000</f>
        <v>26850000</v>
      </c>
      <c r="I110" s="284"/>
      <c r="J110" s="288">
        <f>H110+154390+1242202+888000+662900+685400</f>
        <v>30482892</v>
      </c>
      <c r="K110" s="288">
        <f t="shared" si="3"/>
        <v>30482892</v>
      </c>
      <c r="L110" s="256" t="s">
        <v>48</v>
      </c>
      <c r="M110" s="263"/>
      <c r="N110" s="264"/>
      <c r="O110" s="264"/>
      <c r="P110" s="256"/>
    </row>
    <row r="111" spans="1:16">
      <c r="A111" s="256">
        <v>72</v>
      </c>
      <c r="B111" s="294" t="s">
        <v>121</v>
      </c>
      <c r="C111" s="258" t="s">
        <v>2927</v>
      </c>
      <c r="D111" s="259" t="s">
        <v>2928</v>
      </c>
      <c r="E111" s="271" t="s">
        <v>2955</v>
      </c>
      <c r="F111" s="38" t="s">
        <v>2956</v>
      </c>
      <c r="G111" s="38" t="s">
        <v>2956</v>
      </c>
      <c r="H111" s="284">
        <v>19898000</v>
      </c>
      <c r="I111" s="284"/>
      <c r="J111" s="288">
        <f>H111+308420+455000+471000+486100+1047980-1047980+57910</f>
        <v>21676430</v>
      </c>
      <c r="K111" s="288">
        <f t="shared" si="3"/>
        <v>21676430</v>
      </c>
      <c r="L111" s="256" t="s">
        <v>48</v>
      </c>
      <c r="M111" s="263"/>
      <c r="N111" s="264"/>
      <c r="O111" s="264"/>
      <c r="P111" s="256"/>
    </row>
    <row r="112" spans="1:16">
      <c r="A112" s="256">
        <v>83</v>
      </c>
      <c r="B112" s="257" t="s">
        <v>121</v>
      </c>
      <c r="C112" s="258" t="s">
        <v>2927</v>
      </c>
      <c r="D112" s="259" t="s">
        <v>2928</v>
      </c>
      <c r="E112" s="271" t="s">
        <v>2964</v>
      </c>
      <c r="F112" s="269" t="s">
        <v>2965</v>
      </c>
      <c r="G112" s="269" t="s">
        <v>2965</v>
      </c>
      <c r="H112" s="301">
        <f>31306000</f>
        <v>31306000</v>
      </c>
      <c r="I112" s="301"/>
      <c r="J112" s="276">
        <f>H112-785000+198602+706600+722810-3500000</f>
        <v>28649012</v>
      </c>
      <c r="K112" s="276">
        <f t="shared" si="3"/>
        <v>28649012</v>
      </c>
      <c r="L112" s="256"/>
      <c r="M112" s="263"/>
      <c r="N112" s="264"/>
      <c r="O112" s="264"/>
      <c r="P112" s="256"/>
    </row>
    <row r="113" spans="1:16">
      <c r="A113" s="256">
        <v>308</v>
      </c>
      <c r="B113" s="294" t="s">
        <v>733</v>
      </c>
      <c r="C113" s="318" t="s">
        <v>2986</v>
      </c>
      <c r="D113" s="259" t="s">
        <v>2987</v>
      </c>
      <c r="E113" s="271" t="s">
        <v>734</v>
      </c>
      <c r="F113" s="38">
        <v>45636</v>
      </c>
      <c r="G113" s="38">
        <v>45636</v>
      </c>
      <c r="H113" s="284">
        <v>12919512</v>
      </c>
      <c r="I113" s="284"/>
      <c r="J113" s="288">
        <f>12919512+20000</f>
        <v>12939512</v>
      </c>
      <c r="K113" s="288">
        <f t="shared" si="3"/>
        <v>12939512</v>
      </c>
      <c r="L113" s="341"/>
      <c r="M113" s="252"/>
      <c r="N113" s="264"/>
      <c r="O113" s="264"/>
      <c r="P113" s="82"/>
    </row>
    <row r="114" spans="1:16">
      <c r="A114" s="256">
        <v>195</v>
      </c>
      <c r="B114" s="257" t="s">
        <v>468</v>
      </c>
      <c r="C114" s="318" t="s">
        <v>2986</v>
      </c>
      <c r="D114" s="259" t="s">
        <v>2987</v>
      </c>
      <c r="E114" s="271" t="s">
        <v>469</v>
      </c>
      <c r="F114" s="38">
        <v>40833</v>
      </c>
      <c r="G114" s="38">
        <v>40833</v>
      </c>
      <c r="H114" s="262">
        <v>23214200</v>
      </c>
      <c r="I114" s="262">
        <v>941743</v>
      </c>
      <c r="J114" s="262">
        <f>31827526+12451896</f>
        <v>44279422</v>
      </c>
      <c r="K114" s="262"/>
      <c r="L114" s="37" t="s">
        <v>17</v>
      </c>
      <c r="M114" s="267"/>
      <c r="N114" s="264"/>
      <c r="O114" s="264"/>
      <c r="P114" s="74"/>
    </row>
    <row r="115" spans="1:16">
      <c r="A115" s="256">
        <v>196</v>
      </c>
      <c r="B115" s="257" t="s">
        <v>468</v>
      </c>
      <c r="C115" s="318" t="s">
        <v>2986</v>
      </c>
      <c r="D115" s="259" t="s">
        <v>2987</v>
      </c>
      <c r="E115" s="271" t="s">
        <v>470</v>
      </c>
      <c r="F115" s="38">
        <v>40911</v>
      </c>
      <c r="G115" s="38">
        <v>40911</v>
      </c>
      <c r="H115" s="262">
        <v>19653350</v>
      </c>
      <c r="I115" s="262">
        <v>3167920</v>
      </c>
      <c r="J115" s="262">
        <f>23066942+9021907</f>
        <v>32088849</v>
      </c>
      <c r="K115" s="262"/>
      <c r="L115" s="37" t="s">
        <v>17</v>
      </c>
      <c r="M115" s="267"/>
      <c r="N115" s="264"/>
      <c r="O115" s="264"/>
      <c r="P115" s="74"/>
    </row>
    <row r="116" spans="1:16">
      <c r="A116" s="256">
        <v>197</v>
      </c>
      <c r="B116" s="257" t="s">
        <v>468</v>
      </c>
      <c r="C116" s="318" t="s">
        <v>2986</v>
      </c>
      <c r="D116" s="259" t="s">
        <v>2987</v>
      </c>
      <c r="E116" s="271" t="s">
        <v>471</v>
      </c>
      <c r="F116" s="38">
        <v>40940</v>
      </c>
      <c r="G116" s="38">
        <v>40940</v>
      </c>
      <c r="H116" s="262">
        <v>5243565</v>
      </c>
      <c r="I116" s="262">
        <v>0</v>
      </c>
      <c r="J116" s="262">
        <f>7139211-200000+2683193</f>
        <v>9622404</v>
      </c>
      <c r="K116" s="262">
        <f>SUM(J114:J116)</f>
        <v>85990675</v>
      </c>
      <c r="L116" s="37" t="s">
        <v>17</v>
      </c>
      <c r="M116" s="267"/>
      <c r="N116" s="264"/>
      <c r="O116" s="264"/>
      <c r="P116" s="74"/>
    </row>
    <row r="117" spans="1:16">
      <c r="A117" s="256">
        <v>93</v>
      </c>
      <c r="B117" s="257" t="s">
        <v>157</v>
      </c>
      <c r="C117" s="258" t="s">
        <v>2927</v>
      </c>
      <c r="D117" s="259" t="s">
        <v>2928</v>
      </c>
      <c r="E117" s="271" t="s">
        <v>2970</v>
      </c>
      <c r="F117" s="269">
        <v>45137</v>
      </c>
      <c r="G117" s="269">
        <v>45137</v>
      </c>
      <c r="H117" s="302">
        <f>143837664.56</f>
        <v>143837664.56</v>
      </c>
      <c r="I117" s="301"/>
      <c r="J117" s="276">
        <f>H117+1966000+226550</f>
        <v>146030214.56</v>
      </c>
      <c r="K117" s="276">
        <f>J117</f>
        <v>146030214.56</v>
      </c>
      <c r="L117" s="256"/>
      <c r="M117" s="263"/>
      <c r="N117" s="264"/>
      <c r="O117" s="264"/>
      <c r="P117" s="256" t="s">
        <v>158</v>
      </c>
    </row>
    <row r="118" spans="1:16">
      <c r="A118" s="256">
        <v>301</v>
      </c>
      <c r="B118" s="257" t="s">
        <v>721</v>
      </c>
      <c r="C118" s="318" t="s">
        <v>2986</v>
      </c>
      <c r="D118" s="259" t="s">
        <v>2987</v>
      </c>
      <c r="E118" s="260" t="s">
        <v>3009</v>
      </c>
      <c r="F118" s="269">
        <v>45222</v>
      </c>
      <c r="G118" s="269">
        <v>45222</v>
      </c>
      <c r="H118" s="276">
        <f>2820974.39</f>
        <v>2820974.39</v>
      </c>
      <c r="I118" s="301"/>
      <c r="J118" s="276">
        <f>H118+55500+266830+8270</f>
        <v>3151574.39</v>
      </c>
      <c r="K118" s="276">
        <f>J118</f>
        <v>3151574.39</v>
      </c>
      <c r="L118" s="341"/>
      <c r="M118" s="298" t="s">
        <v>3010</v>
      </c>
      <c r="N118" s="264"/>
      <c r="O118" s="264"/>
      <c r="P118" s="82"/>
    </row>
    <row r="119" spans="1:16">
      <c r="A119" s="256">
        <v>236</v>
      </c>
      <c r="B119" s="257" t="s">
        <v>2995</v>
      </c>
      <c r="C119" s="318" t="s">
        <v>2986</v>
      </c>
      <c r="D119" s="259" t="s">
        <v>2987</v>
      </c>
      <c r="E119" s="271" t="s">
        <v>551</v>
      </c>
      <c r="F119" s="38">
        <v>43851</v>
      </c>
      <c r="G119" s="38">
        <v>43851</v>
      </c>
      <c r="H119" s="284">
        <v>37187</v>
      </c>
      <c r="I119" s="291"/>
      <c r="J119" s="262">
        <v>0</v>
      </c>
      <c r="K119" s="262">
        <v>0</v>
      </c>
      <c r="L119" s="341"/>
      <c r="M119" s="252" t="s">
        <v>552</v>
      </c>
      <c r="N119" s="279" t="s">
        <v>2934</v>
      </c>
      <c r="O119" s="264"/>
      <c r="P119" s="74"/>
    </row>
    <row r="120" spans="1:16">
      <c r="A120" s="256">
        <v>309</v>
      </c>
      <c r="B120" s="294" t="s">
        <v>735</v>
      </c>
      <c r="C120" s="318" t="s">
        <v>2986</v>
      </c>
      <c r="D120" s="259" t="s">
        <v>2987</v>
      </c>
      <c r="E120" s="271" t="s">
        <v>736</v>
      </c>
      <c r="F120" s="38">
        <v>45644</v>
      </c>
      <c r="G120" s="38">
        <v>45644</v>
      </c>
      <c r="H120" s="284">
        <v>36853084</v>
      </c>
      <c r="I120" s="284"/>
      <c r="J120" s="288">
        <f>36853084-350000+20000</f>
        <v>36523084</v>
      </c>
      <c r="K120" s="288">
        <f>J120</f>
        <v>36523084</v>
      </c>
      <c r="L120" s="341"/>
      <c r="M120" s="252"/>
      <c r="N120" s="264"/>
      <c r="O120" s="264"/>
      <c r="P120" s="82"/>
    </row>
    <row r="121" spans="1:16">
      <c r="A121" s="256">
        <v>9</v>
      </c>
      <c r="B121" s="257" t="s">
        <v>18</v>
      </c>
      <c r="C121" s="258" t="s">
        <v>2927</v>
      </c>
      <c r="D121" s="259" t="s">
        <v>2928</v>
      </c>
      <c r="E121" s="260" t="s">
        <v>22</v>
      </c>
      <c r="F121" s="38">
        <v>40888</v>
      </c>
      <c r="G121" s="38">
        <v>40888</v>
      </c>
      <c r="H121" s="262">
        <v>8219028</v>
      </c>
      <c r="I121" s="262">
        <v>0</v>
      </c>
      <c r="J121" s="262">
        <v>1</v>
      </c>
      <c r="K121" s="262">
        <f>SUM(J121:J121)</f>
        <v>1</v>
      </c>
      <c r="L121" s="256" t="s">
        <v>20</v>
      </c>
      <c r="M121" s="263"/>
      <c r="N121" s="264"/>
      <c r="O121" s="264"/>
      <c r="P121" s="256"/>
    </row>
    <row r="122" spans="1:16">
      <c r="A122" s="256">
        <v>28</v>
      </c>
      <c r="B122" s="257" t="s">
        <v>82</v>
      </c>
      <c r="C122" s="258" t="s">
        <v>2927</v>
      </c>
      <c r="D122" s="259" t="s">
        <v>2928</v>
      </c>
      <c r="E122" s="290" t="s">
        <v>2728</v>
      </c>
      <c r="F122" s="38">
        <v>40106</v>
      </c>
      <c r="G122" s="38"/>
      <c r="H122" s="262">
        <v>46314964.82</v>
      </c>
      <c r="I122" s="262"/>
      <c r="J122" s="262">
        <f>H122-563228.02+875761+1060780-723280+1084920+1097195+1130385+723280+18198592.71</f>
        <v>69199370.50999999</v>
      </c>
      <c r="K122" s="262">
        <f>J122</f>
        <v>69199370.50999999</v>
      </c>
      <c r="L122" s="256" t="s">
        <v>83</v>
      </c>
      <c r="M122" s="263" t="s">
        <v>2933</v>
      </c>
      <c r="N122" s="279"/>
      <c r="O122" s="264"/>
      <c r="P122" s="256">
        <v>69199370.50999999</v>
      </c>
    </row>
    <row r="123" spans="1:16">
      <c r="A123" s="256">
        <v>25</v>
      </c>
      <c r="B123" s="257" t="s">
        <v>78</v>
      </c>
      <c r="C123" s="258" t="s">
        <v>2927</v>
      </c>
      <c r="D123" s="259" t="s">
        <v>2928</v>
      </c>
      <c r="E123" s="287" t="s">
        <v>79</v>
      </c>
      <c r="F123" s="38">
        <v>43601</v>
      </c>
      <c r="G123" s="38">
        <v>43601</v>
      </c>
      <c r="H123" s="262">
        <f>31929888.92+19008018.12</f>
        <v>50937907.040000007</v>
      </c>
      <c r="I123" s="262"/>
      <c r="J123" s="262">
        <f>50937907.04+587495.96-1050000+1173797+1187932+1202045+1242905+1271488+19333672.18</f>
        <v>75887242.180000007</v>
      </c>
      <c r="K123" s="262">
        <f>J123</f>
        <v>75887242.180000007</v>
      </c>
      <c r="L123" s="256" t="s">
        <v>53</v>
      </c>
      <c r="M123" s="263" t="s">
        <v>2932</v>
      </c>
      <c r="N123" s="264"/>
      <c r="O123" s="264"/>
      <c r="P123" s="256"/>
    </row>
    <row r="124" spans="1:16">
      <c r="A124" s="256">
        <v>149</v>
      </c>
      <c r="B124" s="257" t="s">
        <v>377</v>
      </c>
      <c r="C124" s="318" t="s">
        <v>2986</v>
      </c>
      <c r="D124" s="259" t="s">
        <v>2987</v>
      </c>
      <c r="E124" s="260" t="s">
        <v>378</v>
      </c>
      <c r="F124" s="37" t="s">
        <v>379</v>
      </c>
      <c r="G124" s="37" t="s">
        <v>379</v>
      </c>
      <c r="H124" s="262">
        <v>4869723</v>
      </c>
      <c r="I124" s="262">
        <v>2361510.67</v>
      </c>
      <c r="J124" s="262">
        <v>6962737.4000000004</v>
      </c>
      <c r="K124" s="262"/>
      <c r="L124" s="37" t="s">
        <v>17</v>
      </c>
      <c r="M124" s="267"/>
      <c r="N124" s="264"/>
      <c r="O124" s="264"/>
      <c r="P124" s="74"/>
    </row>
    <row r="125" spans="1:16">
      <c r="A125" s="256">
        <v>150</v>
      </c>
      <c r="B125" s="257" t="s">
        <v>377</v>
      </c>
      <c r="C125" s="318" t="s">
        <v>2986</v>
      </c>
      <c r="D125" s="259" t="s">
        <v>2987</v>
      </c>
      <c r="E125" s="260" t="s">
        <v>380</v>
      </c>
      <c r="F125" s="37" t="s">
        <v>381</v>
      </c>
      <c r="G125" s="37" t="s">
        <v>381</v>
      </c>
      <c r="H125" s="262">
        <v>133024</v>
      </c>
      <c r="I125" s="262">
        <v>85300</v>
      </c>
      <c r="J125" s="262">
        <v>157611</v>
      </c>
      <c r="K125" s="262"/>
      <c r="L125" s="37" t="s">
        <v>17</v>
      </c>
      <c r="M125" s="267"/>
      <c r="N125" s="264"/>
      <c r="O125" s="264"/>
      <c r="P125" s="74"/>
    </row>
    <row r="126" spans="1:16">
      <c r="A126" s="256">
        <v>151</v>
      </c>
      <c r="B126" s="257" t="s">
        <v>377</v>
      </c>
      <c r="C126" s="318" t="s">
        <v>2986</v>
      </c>
      <c r="D126" s="259" t="s">
        <v>2987</v>
      </c>
      <c r="E126" s="260" t="s">
        <v>382</v>
      </c>
      <c r="F126" s="37" t="s">
        <v>383</v>
      </c>
      <c r="G126" s="37" t="s">
        <v>383</v>
      </c>
      <c r="H126" s="262">
        <v>2325219</v>
      </c>
      <c r="I126" s="262">
        <v>1775431.72</v>
      </c>
      <c r="J126" s="262">
        <v>2214536.25</v>
      </c>
      <c r="K126" s="262"/>
      <c r="L126" s="37" t="s">
        <v>17</v>
      </c>
      <c r="M126" s="267"/>
      <c r="N126" s="264"/>
      <c r="O126" s="264"/>
      <c r="P126" s="74"/>
    </row>
    <row r="127" spans="1:16">
      <c r="A127" s="256">
        <v>152</v>
      </c>
      <c r="B127" s="257" t="s">
        <v>377</v>
      </c>
      <c r="C127" s="318" t="s">
        <v>2986</v>
      </c>
      <c r="D127" s="259" t="s">
        <v>2987</v>
      </c>
      <c r="E127" s="260" t="s">
        <v>384</v>
      </c>
      <c r="F127" s="38">
        <v>35893</v>
      </c>
      <c r="G127" s="38">
        <v>35893</v>
      </c>
      <c r="H127" s="262">
        <v>200500</v>
      </c>
      <c r="I127" s="262">
        <v>15000</v>
      </c>
      <c r="J127" s="262">
        <v>303516</v>
      </c>
      <c r="K127" s="262"/>
      <c r="L127" s="37" t="s">
        <v>17</v>
      </c>
      <c r="M127" s="267"/>
      <c r="N127" s="264"/>
      <c r="O127" s="264"/>
      <c r="P127" s="74"/>
    </row>
    <row r="128" spans="1:16">
      <c r="A128" s="256">
        <v>153</v>
      </c>
      <c r="B128" s="257" t="s">
        <v>377</v>
      </c>
      <c r="C128" s="318" t="s">
        <v>2986</v>
      </c>
      <c r="D128" s="259" t="s">
        <v>2987</v>
      </c>
      <c r="E128" s="260" t="s">
        <v>385</v>
      </c>
      <c r="F128" s="37" t="s">
        <v>386</v>
      </c>
      <c r="G128" s="37" t="s">
        <v>386</v>
      </c>
      <c r="H128" s="262">
        <v>2825248</v>
      </c>
      <c r="I128" s="262">
        <v>2665211.4</v>
      </c>
      <c r="J128" s="262">
        <v>316093.59999999998</v>
      </c>
      <c r="K128" s="262"/>
      <c r="L128" s="37" t="s">
        <v>17</v>
      </c>
      <c r="M128" s="267"/>
      <c r="N128" s="264"/>
      <c r="O128" s="264"/>
      <c r="P128" s="74"/>
    </row>
    <row r="129" spans="1:16">
      <c r="A129" s="256">
        <v>154</v>
      </c>
      <c r="B129" s="257" t="s">
        <v>377</v>
      </c>
      <c r="C129" s="318" t="s">
        <v>2986</v>
      </c>
      <c r="D129" s="259" t="s">
        <v>2987</v>
      </c>
      <c r="E129" s="277" t="s">
        <v>387</v>
      </c>
      <c r="F129" s="38">
        <v>36222</v>
      </c>
      <c r="G129" s="38">
        <v>36222</v>
      </c>
      <c r="H129" s="262">
        <v>1400435</v>
      </c>
      <c r="I129" s="262">
        <v>916555.27</v>
      </c>
      <c r="J129" s="262">
        <v>782904.73</v>
      </c>
      <c r="K129" s="262"/>
      <c r="L129" s="37" t="s">
        <v>17</v>
      </c>
      <c r="M129" s="267"/>
      <c r="N129" s="264"/>
      <c r="O129" s="264"/>
      <c r="P129" s="74"/>
    </row>
    <row r="130" spans="1:16">
      <c r="A130" s="256">
        <v>155</v>
      </c>
      <c r="B130" s="257" t="s">
        <v>377</v>
      </c>
      <c r="C130" s="318" t="s">
        <v>2986</v>
      </c>
      <c r="D130" s="259" t="s">
        <v>2987</v>
      </c>
      <c r="E130" s="287" t="s">
        <v>388</v>
      </c>
      <c r="F130" s="38">
        <v>37414</v>
      </c>
      <c r="G130" s="38">
        <v>37414</v>
      </c>
      <c r="H130" s="262">
        <v>717259</v>
      </c>
      <c r="I130" s="262">
        <v>0</v>
      </c>
      <c r="J130" s="262">
        <v>717259</v>
      </c>
      <c r="K130" s="262">
        <f>SUM(J124:J130)</f>
        <v>11454657.98</v>
      </c>
      <c r="L130" s="37" t="s">
        <v>17</v>
      </c>
      <c r="M130" s="267"/>
      <c r="N130" s="264"/>
      <c r="O130" s="264"/>
      <c r="P130" s="74"/>
    </row>
    <row r="131" spans="1:16">
      <c r="A131" s="256">
        <v>156</v>
      </c>
      <c r="B131" s="257" t="s">
        <v>389</v>
      </c>
      <c r="C131" s="318" t="s">
        <v>2986</v>
      </c>
      <c r="D131" s="259" t="s">
        <v>2987</v>
      </c>
      <c r="E131" s="260" t="s">
        <v>390</v>
      </c>
      <c r="F131" s="37" t="s">
        <v>391</v>
      </c>
      <c r="G131" s="37" t="s">
        <v>391</v>
      </c>
      <c r="H131" s="262">
        <v>493747.85</v>
      </c>
      <c r="I131" s="262">
        <v>471200</v>
      </c>
      <c r="J131" s="262">
        <v>422451.53</v>
      </c>
      <c r="K131" s="262">
        <f>SUM(J131)</f>
        <v>422451.53</v>
      </c>
      <c r="L131" s="37" t="s">
        <v>17</v>
      </c>
      <c r="M131" s="267"/>
      <c r="N131" s="264"/>
      <c r="O131" s="264"/>
      <c r="P131" s="74"/>
    </row>
    <row r="132" spans="1:16">
      <c r="A132" s="256">
        <v>57</v>
      </c>
      <c r="B132" s="294" t="s">
        <v>129</v>
      </c>
      <c r="C132" s="258" t="s">
        <v>2927</v>
      </c>
      <c r="D132" s="259" t="s">
        <v>2928</v>
      </c>
      <c r="E132" s="271" t="s">
        <v>2949</v>
      </c>
      <c r="F132" s="38" t="s">
        <v>2950</v>
      </c>
      <c r="G132" s="38" t="s">
        <v>2950</v>
      </c>
      <c r="H132" s="284">
        <f>40000000 +140397050</f>
        <v>180397050</v>
      </c>
      <c r="I132" s="284"/>
      <c r="J132" s="288">
        <f>H132+496095+8321085+4258000+4401500+4551100+68881900</f>
        <v>271306730</v>
      </c>
      <c r="K132" s="288">
        <f>J132</f>
        <v>271306730</v>
      </c>
      <c r="L132" s="256" t="s">
        <v>48</v>
      </c>
      <c r="M132" s="263"/>
      <c r="N132" s="264"/>
      <c r="O132" s="264"/>
      <c r="P132" s="256"/>
    </row>
    <row r="133" spans="1:16">
      <c r="A133" s="256">
        <v>260</v>
      </c>
      <c r="B133" s="294" t="s">
        <v>129</v>
      </c>
      <c r="C133" s="318" t="s">
        <v>2986</v>
      </c>
      <c r="D133" s="259" t="s">
        <v>2987</v>
      </c>
      <c r="E133" s="271" t="s">
        <v>610</v>
      </c>
      <c r="F133" s="38" t="s">
        <v>611</v>
      </c>
      <c r="G133" s="38" t="s">
        <v>611</v>
      </c>
      <c r="H133" s="284">
        <f>1440703.57</f>
        <v>1440703.57</v>
      </c>
      <c r="I133" s="284"/>
      <c r="J133" s="288">
        <f>H133+11170.43+66787+35000+35400+36600+553186.18</f>
        <v>2178847.1800000002</v>
      </c>
      <c r="K133" s="288">
        <f>J133</f>
        <v>2178847.1800000002</v>
      </c>
      <c r="L133" s="341"/>
      <c r="M133" s="252"/>
      <c r="N133" s="264"/>
      <c r="O133" s="264"/>
      <c r="P133" s="79" t="s">
        <v>48</v>
      </c>
    </row>
    <row r="134" spans="1:16">
      <c r="A134" s="256">
        <v>181</v>
      </c>
      <c r="B134" s="257" t="s">
        <v>442</v>
      </c>
      <c r="C134" s="318" t="s">
        <v>2986</v>
      </c>
      <c r="D134" s="259" t="s">
        <v>2987</v>
      </c>
      <c r="E134" s="260" t="s">
        <v>443</v>
      </c>
      <c r="F134" s="38">
        <v>39790</v>
      </c>
      <c r="G134" s="38">
        <v>39790</v>
      </c>
      <c r="H134" s="262">
        <v>1702360</v>
      </c>
      <c r="I134" s="262">
        <v>921901</v>
      </c>
      <c r="J134" s="262">
        <v>600582.25</v>
      </c>
      <c r="K134" s="262"/>
      <c r="L134" s="37" t="s">
        <v>17</v>
      </c>
      <c r="M134" s="267"/>
      <c r="N134" s="264"/>
      <c r="O134" s="264"/>
      <c r="P134" s="74"/>
    </row>
    <row r="135" spans="1:16">
      <c r="A135" s="256">
        <v>182</v>
      </c>
      <c r="B135" s="257" t="s">
        <v>442</v>
      </c>
      <c r="C135" s="318" t="s">
        <v>2986</v>
      </c>
      <c r="D135" s="259" t="s">
        <v>2987</v>
      </c>
      <c r="E135" s="260" t="s">
        <v>444</v>
      </c>
      <c r="F135" s="38">
        <v>39790</v>
      </c>
      <c r="G135" s="38">
        <v>39790</v>
      </c>
      <c r="H135" s="262">
        <v>7359350</v>
      </c>
      <c r="I135" s="262">
        <v>0</v>
      </c>
      <c r="J135" s="262">
        <v>11879364</v>
      </c>
      <c r="K135" s="262"/>
      <c r="L135" s="37" t="s">
        <v>17</v>
      </c>
      <c r="M135" s="267"/>
      <c r="N135" s="264"/>
      <c r="O135" s="264"/>
      <c r="P135" s="74"/>
    </row>
    <row r="136" spans="1:16">
      <c r="A136" s="256">
        <v>183</v>
      </c>
      <c r="B136" s="257" t="s">
        <v>445</v>
      </c>
      <c r="C136" s="318" t="s">
        <v>2986</v>
      </c>
      <c r="D136" s="259" t="s">
        <v>2987</v>
      </c>
      <c r="E136" s="260" t="s">
        <v>446</v>
      </c>
      <c r="F136" s="38">
        <v>39790</v>
      </c>
      <c r="G136" s="38">
        <v>39790</v>
      </c>
      <c r="H136" s="262">
        <v>2828513</v>
      </c>
      <c r="I136" s="262">
        <v>0</v>
      </c>
      <c r="J136" s="262">
        <v>4554506</v>
      </c>
      <c r="K136" s="262"/>
      <c r="L136" s="37" t="s">
        <v>17</v>
      </c>
      <c r="M136" s="267"/>
      <c r="N136" s="264"/>
      <c r="O136" s="264"/>
      <c r="P136" s="74"/>
    </row>
    <row r="137" spans="1:16">
      <c r="A137" s="256">
        <v>184</v>
      </c>
      <c r="B137" s="257" t="s">
        <v>445</v>
      </c>
      <c r="C137" s="318" t="s">
        <v>2986</v>
      </c>
      <c r="D137" s="259" t="s">
        <v>2987</v>
      </c>
      <c r="E137" s="260" t="s">
        <v>447</v>
      </c>
      <c r="F137" s="38">
        <v>39790</v>
      </c>
      <c r="G137" s="38">
        <v>39790</v>
      </c>
      <c r="H137" s="262">
        <v>4320376</v>
      </c>
      <c r="I137" s="262">
        <v>0</v>
      </c>
      <c r="J137" s="262">
        <v>6956783</v>
      </c>
      <c r="K137" s="262">
        <f>SUM(J134:J137)</f>
        <v>23991235.25</v>
      </c>
      <c r="L137" s="37" t="s">
        <v>17</v>
      </c>
      <c r="M137" s="267"/>
      <c r="N137" s="264"/>
      <c r="O137" s="264"/>
      <c r="P137" s="74"/>
    </row>
    <row r="138" spans="1:16">
      <c r="A138" s="256">
        <v>140</v>
      </c>
      <c r="B138" s="257" t="s">
        <v>355</v>
      </c>
      <c r="C138" s="318" t="s">
        <v>2986</v>
      </c>
      <c r="D138" s="259" t="s">
        <v>2987</v>
      </c>
      <c r="E138" s="319" t="s">
        <v>356</v>
      </c>
      <c r="F138" s="37" t="s">
        <v>357</v>
      </c>
      <c r="G138" s="37" t="s">
        <v>357</v>
      </c>
      <c r="H138" s="262">
        <v>4928030</v>
      </c>
      <c r="I138" s="262">
        <v>1803607</v>
      </c>
      <c r="J138" s="262">
        <v>3077585</v>
      </c>
      <c r="K138" s="262">
        <f>SUM(J138)</f>
        <v>3077585</v>
      </c>
      <c r="L138" s="37" t="s">
        <v>20</v>
      </c>
      <c r="M138" s="267"/>
      <c r="N138" s="264"/>
      <c r="O138" s="264"/>
      <c r="P138" s="74"/>
    </row>
    <row r="139" spans="1:16">
      <c r="A139" s="256">
        <v>16</v>
      </c>
      <c r="B139" s="257" t="s">
        <v>1436</v>
      </c>
      <c r="C139" s="258" t="s">
        <v>2927</v>
      </c>
      <c r="D139" s="259" t="s">
        <v>2928</v>
      </c>
      <c r="E139" s="277" t="s">
        <v>46</v>
      </c>
      <c r="F139" s="38">
        <v>43240</v>
      </c>
      <c r="G139" s="38">
        <v>43240</v>
      </c>
      <c r="H139" s="278">
        <v>23744881</v>
      </c>
      <c r="I139" s="278"/>
      <c r="J139" s="278">
        <f>23744881+342982-2643758+712689-300000-356372-360102-252430+505031+981822-144858-500000-800000-785614-300000-100000-1805911-300000-250000-100000-100000-300000-428739.42-736694-150000-425060-33482-193320-200000-992532-323523-16469-183362-126118</f>
        <v>13079060.58</v>
      </c>
      <c r="K139" s="278"/>
      <c r="L139" s="256" t="s">
        <v>2929</v>
      </c>
      <c r="M139" s="263" t="s">
        <v>49</v>
      </c>
      <c r="N139" s="279" t="s">
        <v>1226</v>
      </c>
      <c r="O139" s="264"/>
      <c r="P139" s="256"/>
    </row>
    <row r="140" spans="1:16">
      <c r="A140" s="256">
        <v>17</v>
      </c>
      <c r="B140" s="280" t="s">
        <v>1436</v>
      </c>
      <c r="C140" s="281" t="s">
        <v>2927</v>
      </c>
      <c r="D140" s="282" t="s">
        <v>2928</v>
      </c>
      <c r="E140" s="283" t="s">
        <v>52</v>
      </c>
      <c r="F140" s="38">
        <v>43468</v>
      </c>
      <c r="G140" s="38">
        <v>43473</v>
      </c>
      <c r="H140" s="262">
        <v>21866000</v>
      </c>
      <c r="I140" s="262"/>
      <c r="J140" s="262">
        <f>21866000+481052-1580923-500000+508396+477815+488805+494615+511425-747457-126118+2558390</f>
        <v>24432000</v>
      </c>
      <c r="K140" s="262">
        <f>J140</f>
        <v>24432000</v>
      </c>
      <c r="L140" s="256" t="s">
        <v>53</v>
      </c>
      <c r="M140" s="263" t="s">
        <v>54</v>
      </c>
      <c r="N140" s="279" t="s">
        <v>2930</v>
      </c>
      <c r="O140" s="264"/>
      <c r="P140" s="256"/>
    </row>
    <row r="141" spans="1:16">
      <c r="A141" s="256">
        <v>18</v>
      </c>
      <c r="B141" s="280" t="s">
        <v>1436</v>
      </c>
      <c r="C141" s="281" t="s">
        <v>2927</v>
      </c>
      <c r="D141" s="282" t="s">
        <v>2928</v>
      </c>
      <c r="E141" s="283" t="s">
        <v>57</v>
      </c>
      <c r="F141" s="38">
        <v>43562</v>
      </c>
      <c r="G141" s="38">
        <v>43562</v>
      </c>
      <c r="H141" s="262">
        <v>24182500</v>
      </c>
      <c r="I141" s="262"/>
      <c r="J141" s="262">
        <f>24182500+513878+568017+581082+587985+607970+621955-49196-103363+2516657</f>
        <v>30027485</v>
      </c>
      <c r="K141" s="262">
        <f>J141</f>
        <v>30027485</v>
      </c>
      <c r="L141" s="256" t="s">
        <v>53</v>
      </c>
      <c r="M141" s="263" t="s">
        <v>58</v>
      </c>
      <c r="N141" s="279" t="s">
        <v>2931</v>
      </c>
      <c r="O141" s="264"/>
      <c r="P141" s="256"/>
    </row>
    <row r="142" spans="1:16">
      <c r="A142" s="256">
        <v>19</v>
      </c>
      <c r="B142" s="257" t="s">
        <v>1436</v>
      </c>
      <c r="C142" s="258" t="s">
        <v>2927</v>
      </c>
      <c r="D142" s="259" t="s">
        <v>2928</v>
      </c>
      <c r="E142" s="260" t="s">
        <v>60</v>
      </c>
      <c r="F142" s="38">
        <v>43723</v>
      </c>
      <c r="G142" s="38">
        <v>43723</v>
      </c>
      <c r="H142" s="284">
        <v>25397442</v>
      </c>
      <c r="I142" s="262"/>
      <c r="J142" s="284">
        <f>25397442+101590-500000-500000-500000+567478+558890+577862-700000+586101</f>
        <v>25589363</v>
      </c>
      <c r="K142" s="284">
        <f>J142</f>
        <v>25589363</v>
      </c>
      <c r="L142" s="256"/>
      <c r="M142" s="263" t="s">
        <v>61</v>
      </c>
      <c r="N142" s="279" t="s">
        <v>2931</v>
      </c>
      <c r="O142" s="264"/>
      <c r="P142" s="256"/>
    </row>
    <row r="143" spans="1:16">
      <c r="A143" s="256">
        <v>29</v>
      </c>
      <c r="B143" s="280" t="s">
        <v>1436</v>
      </c>
      <c r="C143" s="281" t="s">
        <v>2927</v>
      </c>
      <c r="D143" s="282" t="s">
        <v>2928</v>
      </c>
      <c r="E143" s="292" t="s">
        <v>84</v>
      </c>
      <c r="F143" s="38">
        <v>43801</v>
      </c>
      <c r="G143" s="38">
        <v>43801</v>
      </c>
      <c r="H143" s="262">
        <f>544933</f>
        <v>544933</v>
      </c>
      <c r="I143" s="262"/>
      <c r="J143" s="293">
        <v>0</v>
      </c>
      <c r="K143" s="262">
        <v>0</v>
      </c>
      <c r="L143" s="256" t="s">
        <v>85</v>
      </c>
      <c r="M143" s="263" t="s">
        <v>85</v>
      </c>
      <c r="N143" s="279" t="s">
        <v>2935</v>
      </c>
      <c r="O143" s="289"/>
      <c r="P143" s="256"/>
    </row>
    <row r="144" spans="1:16">
      <c r="A144" s="256">
        <v>203</v>
      </c>
      <c r="B144" s="257" t="s">
        <v>1436</v>
      </c>
      <c r="C144" s="318" t="s">
        <v>2986</v>
      </c>
      <c r="D144" s="259" t="s">
        <v>2987</v>
      </c>
      <c r="E144" s="277" t="s">
        <v>46</v>
      </c>
      <c r="F144" s="38">
        <v>43240</v>
      </c>
      <c r="G144" s="38">
        <v>43240</v>
      </c>
      <c r="H144" s="278">
        <v>23744881</v>
      </c>
      <c r="I144" s="278"/>
      <c r="J144" s="278">
        <f>23744881+342982-2643758+712689-300000-356372-360102-252430+505031+981822-144858-500000-800000-785614-300000-100000-1805911-300000-250000-100000-100000-300000-428739.42-736694-150000-425060-33482-193320-200000-992532-323523-16469-183362+3335105</f>
        <v>16540283.58</v>
      </c>
      <c r="K144" s="278"/>
      <c r="L144" s="326" t="s">
        <v>47</v>
      </c>
      <c r="M144" s="252" t="s">
        <v>49</v>
      </c>
      <c r="N144" s="279" t="s">
        <v>1226</v>
      </c>
      <c r="O144" s="264"/>
      <c r="P144" s="78"/>
    </row>
    <row r="145" spans="1:16" ht="15.75">
      <c r="A145" s="256">
        <v>110</v>
      </c>
      <c r="B145" s="294" t="s">
        <v>957</v>
      </c>
      <c r="C145" s="258" t="s">
        <v>965</v>
      </c>
      <c r="D145" s="259" t="s">
        <v>2985</v>
      </c>
      <c r="E145" s="311" t="s">
        <v>959</v>
      </c>
      <c r="F145" s="256" t="s">
        <v>960</v>
      </c>
      <c r="G145" s="256" t="s">
        <v>960</v>
      </c>
      <c r="H145" s="310">
        <v>11806000</v>
      </c>
      <c r="I145" s="312"/>
      <c r="J145" s="312">
        <v>12190896</v>
      </c>
      <c r="K145" s="312">
        <v>12190896</v>
      </c>
      <c r="L145" s="256"/>
      <c r="M145" s="263" t="s">
        <v>958</v>
      </c>
      <c r="N145" s="264"/>
      <c r="O145" s="264"/>
      <c r="P145" s="256"/>
    </row>
    <row r="146" spans="1:16">
      <c r="A146" s="256">
        <v>239</v>
      </c>
      <c r="B146" s="280" t="s">
        <v>558</v>
      </c>
      <c r="C146" s="328" t="s">
        <v>2986</v>
      </c>
      <c r="D146" s="282" t="s">
        <v>2987</v>
      </c>
      <c r="E146" s="295" t="s">
        <v>555</v>
      </c>
      <c r="F146" s="38">
        <v>43852</v>
      </c>
      <c r="G146" s="38">
        <v>43852</v>
      </c>
      <c r="H146" s="284">
        <f>3313050+3357224+1020037.13 +2523015+5916767.5 +5097000+2289830.65 +280080.15 +5097000+1877688.93+352542.5+1783958.5+1874676.6 +3716774.88 +1279601.85 +1274250 +3504187.5 +496162.37</f>
        <v>45053847.559999995</v>
      </c>
      <c r="I146" s="284"/>
      <c r="J146" s="262">
        <f>H146-1279459.14+769575-675587+1013380+1024850-307833-174520-650000-232656-58833+1041555-334511+1023380.58+675587+3203506</f>
        <v>50092281.999999993</v>
      </c>
      <c r="K146" s="262">
        <f>J146</f>
        <v>50092281.999999993</v>
      </c>
      <c r="L146" s="341" t="s">
        <v>559</v>
      </c>
      <c r="M146" s="252" t="s">
        <v>557</v>
      </c>
      <c r="N146" s="279"/>
      <c r="O146" s="264"/>
      <c r="P146" s="75" t="e">
        <f>#REF!+K146</f>
        <v>#REF!</v>
      </c>
    </row>
    <row r="147" spans="1:16">
      <c r="A147" s="256">
        <v>248</v>
      </c>
      <c r="B147" s="280" t="s">
        <v>558</v>
      </c>
      <c r="C147" s="328" t="s">
        <v>2986</v>
      </c>
      <c r="D147" s="282" t="s">
        <v>2987</v>
      </c>
      <c r="E147" s="344" t="s">
        <v>577</v>
      </c>
      <c r="F147" s="38">
        <v>44077</v>
      </c>
      <c r="G147" s="38">
        <v>44077</v>
      </c>
      <c r="H147" s="284">
        <f>20660581.61</f>
        <v>20660581.609999999</v>
      </c>
      <c r="I147" s="284"/>
      <c r="J147" s="284">
        <f>H147-417000-58078 -172.09-103989.33-133289.11+140425-282481+458860+455960.92+1424557</f>
        <v>22145375.000000004</v>
      </c>
      <c r="K147" s="284">
        <f>J147</f>
        <v>22145375.000000004</v>
      </c>
      <c r="L147" s="341"/>
      <c r="M147" s="252" t="s">
        <v>578</v>
      </c>
      <c r="N147" s="264"/>
      <c r="O147" s="264"/>
      <c r="P147" s="79"/>
    </row>
    <row r="148" spans="1:16">
      <c r="A148" s="256">
        <v>180</v>
      </c>
      <c r="B148" s="257" t="s">
        <v>440</v>
      </c>
      <c r="C148" s="318" t="s">
        <v>2986</v>
      </c>
      <c r="D148" s="259" t="s">
        <v>2987</v>
      </c>
      <c r="E148" s="324" t="s">
        <v>441</v>
      </c>
      <c r="F148" s="38">
        <v>38331</v>
      </c>
      <c r="G148" s="38">
        <v>38331</v>
      </c>
      <c r="H148" s="262">
        <v>65281.89</v>
      </c>
      <c r="I148" s="262">
        <v>0</v>
      </c>
      <c r="J148" s="262">
        <v>133663</v>
      </c>
      <c r="K148" s="262">
        <f>SUM(J148)</f>
        <v>133663</v>
      </c>
      <c r="L148" s="37" t="s">
        <v>17</v>
      </c>
      <c r="M148" s="267"/>
      <c r="N148" s="264"/>
      <c r="O148" s="264"/>
      <c r="P148" s="74"/>
    </row>
    <row r="149" spans="1:16">
      <c r="A149" s="256">
        <v>158</v>
      </c>
      <c r="B149" s="257" t="s">
        <v>395</v>
      </c>
      <c r="C149" s="318" t="s">
        <v>2986</v>
      </c>
      <c r="D149" s="259" t="s">
        <v>2987</v>
      </c>
      <c r="E149" s="287" t="s">
        <v>396</v>
      </c>
      <c r="F149" s="38">
        <v>38413</v>
      </c>
      <c r="G149" s="38">
        <v>38413</v>
      </c>
      <c r="H149" s="262">
        <v>1692223.4</v>
      </c>
      <c r="I149" s="262">
        <v>0</v>
      </c>
      <c r="J149" s="262">
        <v>2958098</v>
      </c>
      <c r="K149" s="262">
        <f>SUM(J149)</f>
        <v>2958098</v>
      </c>
      <c r="L149" s="37" t="s">
        <v>17</v>
      </c>
      <c r="M149" s="267"/>
      <c r="N149" s="264"/>
      <c r="O149" s="264"/>
      <c r="P149" s="74"/>
    </row>
    <row r="150" spans="1:16">
      <c r="A150" s="256">
        <v>101</v>
      </c>
      <c r="B150" s="257" t="s">
        <v>2966</v>
      </c>
      <c r="C150" s="258" t="s">
        <v>2927</v>
      </c>
      <c r="D150" s="259" t="s">
        <v>2928</v>
      </c>
      <c r="E150" s="271" t="s">
        <v>2977</v>
      </c>
      <c r="F150" s="269">
        <v>45601</v>
      </c>
      <c r="G150" s="269">
        <v>45601</v>
      </c>
      <c r="H150" s="304">
        <v>161081929</v>
      </c>
      <c r="I150" s="301"/>
      <c r="J150" s="276">
        <f>H150-912000+19918555.98+3357663+20000</f>
        <v>183466147.97999999</v>
      </c>
      <c r="K150" s="276">
        <f>J150</f>
        <v>183466147.97999999</v>
      </c>
      <c r="L150" s="256"/>
      <c r="M150" s="263"/>
      <c r="N150" s="264"/>
      <c r="O150" s="264"/>
      <c r="P150" s="256"/>
    </row>
    <row r="151" spans="1:16">
      <c r="A151" s="256">
        <v>188</v>
      </c>
      <c r="B151" s="257" t="s">
        <v>452</v>
      </c>
      <c r="C151" s="318" t="s">
        <v>2986</v>
      </c>
      <c r="D151" s="259" t="s">
        <v>2987</v>
      </c>
      <c r="E151" s="260" t="s">
        <v>453</v>
      </c>
      <c r="F151" s="38">
        <v>41231</v>
      </c>
      <c r="G151" s="38">
        <v>41231</v>
      </c>
      <c r="H151" s="262">
        <v>16009161.85</v>
      </c>
      <c r="I151" s="262">
        <v>0</v>
      </c>
      <c r="J151" s="262">
        <f>16980319+16114976-1468300-250000</f>
        <v>31376995</v>
      </c>
      <c r="K151" s="262">
        <f>SUM(J151)</f>
        <v>31376995</v>
      </c>
      <c r="L151" s="37" t="s">
        <v>17</v>
      </c>
      <c r="M151" s="267" t="s">
        <v>454</v>
      </c>
      <c r="N151" s="264"/>
      <c r="O151" s="264"/>
      <c r="P151" s="74"/>
    </row>
    <row r="152" spans="1:16">
      <c r="A152" s="256">
        <v>285</v>
      </c>
      <c r="B152" s="294" t="s">
        <v>676</v>
      </c>
      <c r="C152" s="318" t="s">
        <v>2986</v>
      </c>
      <c r="D152" s="259" t="s">
        <v>2987</v>
      </c>
      <c r="E152" s="260" t="s">
        <v>2999</v>
      </c>
      <c r="F152" s="136" t="s">
        <v>678</v>
      </c>
      <c r="G152" s="136" t="s">
        <v>679</v>
      </c>
      <c r="H152" s="351">
        <f>4946632.15 +6831380.98 +2957693.69 +2333732.42 +645253.95 +2128063.29 +4093302.7 +9156163.83+9567747 +9112140 +9719616 +9484826.53 +12561277.5+990556.38 +2674391.7 +4617031.5 +1070376.99 +4753299.7+2460766.56 +1202866.65 +1221903.75 +2442305.92 +1107681.15 +2545677.38 +4244738.55 +5977307.16 +962806.68 +1069848.66 +3977470.5 +251134.64+4953121.88 +1070098.92 +3095614.28 +4311988.71 +712180.05 +788349.84 +6133026.36 +112939.2 +3441116.25 +7151286.62 +6848864.1 +4116799.61+611647.05+1073339.51</f>
        <v>169528366.29000002</v>
      </c>
      <c r="I152" s="350"/>
      <c r="J152" s="351">
        <f>H152-4586035.92-134484.07-875593.37 -3219426.77-16175582.62-1600362+3185500-600000-760016.31+3265400</f>
        <v>148027765.23000002</v>
      </c>
      <c r="K152" s="351">
        <f>J152</f>
        <v>148027765.23000002</v>
      </c>
      <c r="L152" s="352"/>
      <c r="M152" s="354" t="s">
        <v>3000</v>
      </c>
      <c r="N152" s="264"/>
      <c r="O152" s="264"/>
      <c r="P152" s="167"/>
    </row>
    <row r="153" spans="1:16">
      <c r="A153" s="256">
        <v>293</v>
      </c>
      <c r="B153" s="294" t="s">
        <v>676</v>
      </c>
      <c r="C153" s="318" t="s">
        <v>2986</v>
      </c>
      <c r="D153" s="259" t="s">
        <v>2987</v>
      </c>
      <c r="E153" s="260" t="s">
        <v>698</v>
      </c>
      <c r="F153" s="38" t="s">
        <v>699</v>
      </c>
      <c r="G153" s="38" t="s">
        <v>699</v>
      </c>
      <c r="H153" s="288">
        <f>5308596.86 +2734652.88+2734874.88 +2734067.8+5033567.4+1896302.4 +4386473.34 +7160783.44</f>
        <v>31989319</v>
      </c>
      <c r="I153" s="284"/>
      <c r="J153" s="288">
        <f>H153+128000</f>
        <v>32117319</v>
      </c>
      <c r="K153" s="288">
        <f>J153</f>
        <v>32117319</v>
      </c>
      <c r="L153" s="341"/>
      <c r="M153" s="298"/>
      <c r="N153" s="264"/>
      <c r="O153" s="264"/>
      <c r="P153" s="79"/>
    </row>
    <row r="154" spans="1:16">
      <c r="A154" s="256">
        <v>49</v>
      </c>
      <c r="B154" s="294" t="s">
        <v>124</v>
      </c>
      <c r="C154" s="258" t="s">
        <v>2927</v>
      </c>
      <c r="D154" s="259" t="s">
        <v>2928</v>
      </c>
      <c r="E154" s="271" t="s">
        <v>2947</v>
      </c>
      <c r="F154" s="38">
        <v>44195</v>
      </c>
      <c r="G154" s="38">
        <v>44195</v>
      </c>
      <c r="H154" s="284">
        <f>74675250+74675250</f>
        <v>149350500</v>
      </c>
      <c r="I154" s="284"/>
      <c r="J154" s="288">
        <f>H154+3360390-3050000+10357812-4950000+7241000</f>
        <v>162309702</v>
      </c>
      <c r="K154" s="288">
        <f>J154</f>
        <v>162309702</v>
      </c>
      <c r="L154" s="256"/>
      <c r="M154" s="298" t="s">
        <v>2948</v>
      </c>
      <c r="N154" s="264"/>
      <c r="O154" s="264"/>
      <c r="P154" s="256"/>
    </row>
    <row r="155" spans="1:16">
      <c r="A155" s="256">
        <v>227</v>
      </c>
      <c r="B155" s="257" t="s">
        <v>531</v>
      </c>
      <c r="C155" s="318" t="s">
        <v>2986</v>
      </c>
      <c r="D155" s="259" t="s">
        <v>2987</v>
      </c>
      <c r="E155" s="260" t="s">
        <v>532</v>
      </c>
      <c r="F155" s="38">
        <v>42927</v>
      </c>
      <c r="G155" s="38">
        <v>42927</v>
      </c>
      <c r="H155" s="262">
        <v>685851.81</v>
      </c>
      <c r="I155" s="262"/>
      <c r="J155" s="262">
        <f>685851.81+20309+268451.02+7555.17</f>
        <v>982167.00000000012</v>
      </c>
      <c r="K155" s="262">
        <f>J155</f>
        <v>982167.00000000012</v>
      </c>
      <c r="L155" s="37" t="s">
        <v>17</v>
      </c>
      <c r="M155" s="252" t="s">
        <v>533</v>
      </c>
      <c r="N155" s="340">
        <v>0.13</v>
      </c>
      <c r="O155" s="264"/>
      <c r="P155" s="75" t="s">
        <v>17</v>
      </c>
    </row>
    <row r="156" spans="1:16">
      <c r="A156" s="256">
        <v>11</v>
      </c>
      <c r="B156" s="257" t="s">
        <v>26</v>
      </c>
      <c r="C156" s="258" t="s">
        <v>2927</v>
      </c>
      <c r="D156" s="259" t="s">
        <v>2928</v>
      </c>
      <c r="E156" s="270" t="s">
        <v>27</v>
      </c>
      <c r="F156" s="38">
        <v>41751</v>
      </c>
      <c r="G156" s="38">
        <v>41751</v>
      </c>
      <c r="H156" s="262">
        <v>180318658.93000001</v>
      </c>
      <c r="I156" s="262">
        <v>0</v>
      </c>
      <c r="J156" s="262">
        <f>193530985+7913266.94+10000-500000-5000000-5000000-100000-2000000-2000000-10000000-5000000-5000000-100000000-5000000-5000000</f>
        <v>56854251.939999998</v>
      </c>
      <c r="K156" s="262">
        <f>SUM(J156)</f>
        <v>56854251.939999998</v>
      </c>
      <c r="L156" s="256" t="s">
        <v>28</v>
      </c>
      <c r="M156" s="263"/>
      <c r="N156" s="264"/>
      <c r="O156" s="264"/>
      <c r="P156" s="256"/>
    </row>
    <row r="157" spans="1:16">
      <c r="A157" s="256">
        <v>80</v>
      </c>
      <c r="B157" s="294" t="s">
        <v>145</v>
      </c>
      <c r="C157" s="258" t="s">
        <v>2927</v>
      </c>
      <c r="D157" s="259" t="s">
        <v>2928</v>
      </c>
      <c r="E157" s="271" t="s">
        <v>2958</v>
      </c>
      <c r="F157" s="38" t="s">
        <v>2959</v>
      </c>
      <c r="G157" s="38" t="s">
        <v>2959</v>
      </c>
      <c r="H157" s="284">
        <f>99606588.79</f>
        <v>99606588.790000007</v>
      </c>
      <c r="I157" s="284"/>
      <c r="J157" s="288">
        <f>H157+820000+2285000+2362400+2416710</f>
        <v>107490698.79000001</v>
      </c>
      <c r="K157" s="288">
        <f>J157</f>
        <v>107490698.79000001</v>
      </c>
      <c r="L157" s="256"/>
      <c r="M157" s="263"/>
      <c r="N157" s="264"/>
      <c r="O157" s="264"/>
      <c r="P157" s="256"/>
    </row>
    <row r="158" spans="1:16">
      <c r="A158" s="256">
        <v>77</v>
      </c>
      <c r="B158" s="294" t="s">
        <v>144</v>
      </c>
      <c r="C158" s="258" t="s">
        <v>2927</v>
      </c>
      <c r="D158" s="259" t="s">
        <v>2928</v>
      </c>
      <c r="E158" s="271" t="s">
        <v>2957</v>
      </c>
      <c r="F158" s="38">
        <v>44572</v>
      </c>
      <c r="G158" s="38">
        <v>44572</v>
      </c>
      <c r="H158" s="284">
        <f>98000000+39600000</f>
        <v>137600000</v>
      </c>
      <c r="I158" s="284"/>
      <c r="J158" s="288">
        <f>H158+2752000+3125000-4000000</f>
        <v>139477000</v>
      </c>
      <c r="K158" s="288">
        <f>J158-3000000+3139000+3211170</f>
        <v>142827170</v>
      </c>
      <c r="L158" s="256"/>
      <c r="M158" s="263"/>
      <c r="N158" s="256"/>
      <c r="O158" s="264"/>
      <c r="P158" s="256"/>
    </row>
    <row r="159" spans="1:16">
      <c r="A159" s="256">
        <v>111</v>
      </c>
      <c r="B159" s="294" t="s">
        <v>961</v>
      </c>
      <c r="C159" s="258" t="s">
        <v>965</v>
      </c>
      <c r="D159" s="259" t="s">
        <v>2985</v>
      </c>
      <c r="E159" s="311" t="s">
        <v>963</v>
      </c>
      <c r="F159" s="256" t="s">
        <v>964</v>
      </c>
      <c r="G159" s="256" t="s">
        <v>964</v>
      </c>
      <c r="H159" s="312">
        <v>1135427086.6700001</v>
      </c>
      <c r="I159" s="312"/>
      <c r="J159" s="312">
        <v>1152994086.6700001</v>
      </c>
      <c r="K159" s="312">
        <v>1152994086.6700001</v>
      </c>
      <c r="L159" s="256"/>
      <c r="M159" s="263" t="s">
        <v>962</v>
      </c>
      <c r="N159" s="264"/>
      <c r="O159" s="264"/>
      <c r="P159" s="256"/>
    </row>
    <row r="160" spans="1:16">
      <c r="A160" s="256">
        <v>139</v>
      </c>
      <c r="B160" s="257" t="s">
        <v>352</v>
      </c>
      <c r="C160" s="318" t="s">
        <v>2986</v>
      </c>
      <c r="D160" s="259" t="s">
        <v>2987</v>
      </c>
      <c r="E160" s="260" t="s">
        <v>353</v>
      </c>
      <c r="F160" s="37" t="s">
        <v>354</v>
      </c>
      <c r="G160" s="37" t="s">
        <v>354</v>
      </c>
      <c r="H160" s="262">
        <v>16525277</v>
      </c>
      <c r="I160" s="262">
        <v>7694321.9199999999</v>
      </c>
      <c r="J160" s="262">
        <v>1</v>
      </c>
      <c r="K160" s="262">
        <f>SUM(J160)</f>
        <v>1</v>
      </c>
      <c r="L160" s="37" t="s">
        <v>20</v>
      </c>
      <c r="M160" s="267"/>
      <c r="N160" s="264"/>
      <c r="O160" s="264"/>
      <c r="P160" s="74"/>
    </row>
    <row r="161" spans="1:16">
      <c r="A161" s="256">
        <v>159</v>
      </c>
      <c r="B161" s="257" t="s">
        <v>397</v>
      </c>
      <c r="C161" s="318" t="s">
        <v>2986</v>
      </c>
      <c r="D161" s="259" t="s">
        <v>2987</v>
      </c>
      <c r="E161" s="319" t="s">
        <v>398</v>
      </c>
      <c r="F161" s="37" t="s">
        <v>399</v>
      </c>
      <c r="G161" s="37" t="s">
        <v>399</v>
      </c>
      <c r="H161" s="262">
        <v>464864</v>
      </c>
      <c r="I161" s="262">
        <v>45032</v>
      </c>
      <c r="J161" s="262">
        <v>1058652</v>
      </c>
      <c r="K161" s="262"/>
      <c r="L161" s="37" t="s">
        <v>17</v>
      </c>
      <c r="M161" s="267"/>
      <c r="N161" s="264"/>
      <c r="O161" s="264"/>
      <c r="P161" s="74"/>
    </row>
    <row r="162" spans="1:16">
      <c r="A162" s="256">
        <v>160</v>
      </c>
      <c r="B162" s="257" t="s">
        <v>397</v>
      </c>
      <c r="C162" s="318" t="s">
        <v>2986</v>
      </c>
      <c r="D162" s="259" t="s">
        <v>2987</v>
      </c>
      <c r="E162" s="260" t="s">
        <v>400</v>
      </c>
      <c r="F162" s="37" t="s">
        <v>401</v>
      </c>
      <c r="G162" s="37" t="s">
        <v>401</v>
      </c>
      <c r="H162" s="262">
        <v>334570</v>
      </c>
      <c r="I162" s="262">
        <v>146841</v>
      </c>
      <c r="J162" s="262">
        <v>346018.39</v>
      </c>
      <c r="K162" s="262">
        <f>SUM(J161:J162)</f>
        <v>1404670.3900000001</v>
      </c>
      <c r="L162" s="37" t="s">
        <v>17</v>
      </c>
      <c r="M162" s="267"/>
      <c r="N162" s="264"/>
      <c r="O162" s="264"/>
      <c r="P162" s="74"/>
    </row>
    <row r="163" spans="1:16">
      <c r="A163" s="256">
        <v>256</v>
      </c>
      <c r="B163" s="294" t="s">
        <v>2996</v>
      </c>
      <c r="C163" s="318" t="s">
        <v>2986</v>
      </c>
      <c r="D163" s="259" t="s">
        <v>2987</v>
      </c>
      <c r="E163" s="271" t="s">
        <v>600</v>
      </c>
      <c r="F163" s="345" t="s">
        <v>601</v>
      </c>
      <c r="G163" s="345" t="s">
        <v>601</v>
      </c>
      <c r="H163" s="346">
        <f>169900+424750 +620304.9 +169900 +4961080 +849500+679600</f>
        <v>7875034.9000000004</v>
      </c>
      <c r="I163" s="346"/>
      <c r="J163" s="347">
        <f>H163-2006924+165225.1-1122568-50000-176341-10000-100000-50000+330085-487603+108000+101900+105300</f>
        <v>4682109</v>
      </c>
      <c r="K163" s="347">
        <f>J163</f>
        <v>4682109</v>
      </c>
      <c r="L163" s="348"/>
      <c r="M163" s="349" t="s">
        <v>2997</v>
      </c>
      <c r="N163" s="264"/>
      <c r="O163" s="264"/>
      <c r="P163" s="168"/>
    </row>
    <row r="164" spans="1:16">
      <c r="A164" s="256">
        <v>272</v>
      </c>
      <c r="B164" s="294" t="s">
        <v>2998</v>
      </c>
      <c r="C164" s="318" t="s">
        <v>2986</v>
      </c>
      <c r="D164" s="259" t="s">
        <v>2987</v>
      </c>
      <c r="E164" s="271" t="s">
        <v>643</v>
      </c>
      <c r="F164" s="136" t="s">
        <v>644</v>
      </c>
      <c r="G164" s="136" t="s">
        <v>644</v>
      </c>
      <c r="H164" s="350">
        <f>172100 +602608.15 +430250 +195846.36 +370668.98 +4810195 +1114175.4 +2572464.75 +387371.29 -2448946 +8108061.25</f>
        <v>16314795.18</v>
      </c>
      <c r="I164" s="350"/>
      <c r="J164" s="351">
        <f>H164+298000-100000+376000+388500+397380</f>
        <v>17674675.18</v>
      </c>
      <c r="K164" s="351">
        <f>J164</f>
        <v>17674675.18</v>
      </c>
      <c r="L164" s="352"/>
      <c r="M164" s="353"/>
      <c r="N164" s="264"/>
      <c r="O164" s="264"/>
      <c r="P164" s="167"/>
    </row>
    <row r="165" spans="1:16">
      <c r="A165" s="256">
        <v>280</v>
      </c>
      <c r="B165" s="294" t="s">
        <v>2996</v>
      </c>
      <c r="C165" s="318" t="s">
        <v>2986</v>
      </c>
      <c r="D165" s="259" t="s">
        <v>2987</v>
      </c>
      <c r="E165" s="260" t="s">
        <v>661</v>
      </c>
      <c r="F165" s="136" t="s">
        <v>662</v>
      </c>
      <c r="G165" s="136" t="s">
        <v>662</v>
      </c>
      <c r="H165" s="350">
        <f>8715030+23000</f>
        <v>8738030</v>
      </c>
      <c r="I165" s="350"/>
      <c r="J165" s="351">
        <f>H165-3360129+25600+124500+127150</f>
        <v>5655151</v>
      </c>
      <c r="K165" s="351">
        <f>J165</f>
        <v>5655151</v>
      </c>
      <c r="L165" s="352"/>
      <c r="M165" s="353"/>
      <c r="N165" s="264"/>
      <c r="O165" s="264"/>
      <c r="P165" s="167"/>
    </row>
    <row r="166" spans="1:16">
      <c r="A166" s="256">
        <v>291</v>
      </c>
      <c r="B166" s="294" t="s">
        <v>692</v>
      </c>
      <c r="C166" s="318" t="s">
        <v>2986</v>
      </c>
      <c r="D166" s="259" t="s">
        <v>2987</v>
      </c>
      <c r="E166" s="260" t="s">
        <v>693</v>
      </c>
      <c r="F166" s="38" t="s">
        <v>694</v>
      </c>
      <c r="G166" s="38" t="s">
        <v>694</v>
      </c>
      <c r="H166" s="288">
        <f>1195810+3130848 +6326922</f>
        <v>10653580</v>
      </c>
      <c r="I166" s="284"/>
      <c r="J166" s="288">
        <f>H166+72000-779000+250400</f>
        <v>10196980</v>
      </c>
      <c r="K166" s="288">
        <f>J166</f>
        <v>10196980</v>
      </c>
      <c r="L166" s="341"/>
      <c r="M166" s="298"/>
      <c r="N166" s="264"/>
      <c r="O166" s="264"/>
      <c r="P166" s="79"/>
    </row>
    <row r="167" spans="1:16">
      <c r="A167" s="256">
        <v>292</v>
      </c>
      <c r="B167" s="294" t="s">
        <v>695</v>
      </c>
      <c r="C167" s="318" t="s">
        <v>2986</v>
      </c>
      <c r="D167" s="259" t="s">
        <v>2987</v>
      </c>
      <c r="E167" s="260" t="s">
        <v>696</v>
      </c>
      <c r="F167" s="38" t="s">
        <v>697</v>
      </c>
      <c r="G167" s="38" t="s">
        <v>697</v>
      </c>
      <c r="H167" s="288">
        <f>33914534.41 +1838838.09 +1287448.26 +5361920.8 +5373294.24</f>
        <v>47776035.799999997</v>
      </c>
      <c r="I167" s="284"/>
      <c r="J167" s="288">
        <f>H167+203050</f>
        <v>47979085.799999997</v>
      </c>
      <c r="K167" s="288">
        <f>J167</f>
        <v>47979085.799999997</v>
      </c>
      <c r="L167" s="341"/>
      <c r="M167" s="298"/>
      <c r="N167" s="264"/>
      <c r="O167" s="264"/>
      <c r="P167" s="79"/>
    </row>
    <row r="168" spans="1:16">
      <c r="A168" s="256">
        <v>141</v>
      </c>
      <c r="B168" s="257" t="s">
        <v>358</v>
      </c>
      <c r="C168" s="318" t="s">
        <v>2986</v>
      </c>
      <c r="D168" s="259" t="s">
        <v>2987</v>
      </c>
      <c r="E168" s="271" t="s">
        <v>359</v>
      </c>
      <c r="F168" s="37" t="s">
        <v>360</v>
      </c>
      <c r="G168" s="37" t="s">
        <v>360</v>
      </c>
      <c r="H168" s="262">
        <v>2769155</v>
      </c>
      <c r="I168" s="262">
        <v>663898</v>
      </c>
      <c r="J168" s="262">
        <v>1</v>
      </c>
      <c r="K168" s="262">
        <f>SUM(J168)</f>
        <v>1</v>
      </c>
      <c r="L168" s="37" t="s">
        <v>20</v>
      </c>
      <c r="M168" s="267"/>
      <c r="N168" s="264"/>
      <c r="O168" s="264"/>
      <c r="P168" s="74"/>
    </row>
    <row r="169" spans="1:16">
      <c r="A169" s="256">
        <v>161</v>
      </c>
      <c r="B169" s="257" t="s">
        <v>402</v>
      </c>
      <c r="C169" s="318" t="s">
        <v>2986</v>
      </c>
      <c r="D169" s="259" t="s">
        <v>2987</v>
      </c>
      <c r="E169" s="260" t="s">
        <v>403</v>
      </c>
      <c r="F169" s="316" t="s">
        <v>404</v>
      </c>
      <c r="G169" s="316" t="s">
        <v>404</v>
      </c>
      <c r="H169" s="262">
        <v>152391.10999999999</v>
      </c>
      <c r="I169" s="262">
        <v>0</v>
      </c>
      <c r="J169" s="262">
        <v>158476.10999999999</v>
      </c>
      <c r="K169" s="262">
        <f>SUM(J169)</f>
        <v>158476.10999999999</v>
      </c>
      <c r="L169" s="37" t="s">
        <v>17</v>
      </c>
      <c r="M169" s="267"/>
      <c r="N169" s="264"/>
      <c r="O169" s="264"/>
      <c r="P169" s="74"/>
    </row>
    <row r="170" spans="1:16">
      <c r="A170" s="256">
        <v>12</v>
      </c>
      <c r="B170" s="257" t="s">
        <v>29</v>
      </c>
      <c r="C170" s="258" t="s">
        <v>2927</v>
      </c>
      <c r="D170" s="259" t="s">
        <v>2928</v>
      </c>
      <c r="E170" s="271" t="s">
        <v>30</v>
      </c>
      <c r="F170" s="38">
        <v>41963</v>
      </c>
      <c r="G170" s="38">
        <v>41963</v>
      </c>
      <c r="H170" s="262">
        <f>14701895+24264386+5066330</f>
        <v>44032611</v>
      </c>
      <c r="I170" s="262">
        <v>0</v>
      </c>
      <c r="J170" s="262">
        <f>44032611+823155.41+5000+1682278.41+4598898-0.99</f>
        <v>51141941.829999991</v>
      </c>
      <c r="K170" s="262">
        <f>J170</f>
        <v>51141941.829999991</v>
      </c>
      <c r="L170" s="256" t="s">
        <v>17</v>
      </c>
      <c r="M170" s="263"/>
      <c r="N170" s="264"/>
      <c r="O170" s="264"/>
      <c r="P170" s="256"/>
    </row>
    <row r="171" spans="1:16">
      <c r="A171" s="256">
        <v>218</v>
      </c>
      <c r="B171" s="294" t="s">
        <v>517</v>
      </c>
      <c r="C171" s="318" t="s">
        <v>2986</v>
      </c>
      <c r="D171" s="259" t="s">
        <v>2987</v>
      </c>
      <c r="E171" s="271" t="s">
        <v>518</v>
      </c>
      <c r="F171" s="38">
        <v>42957</v>
      </c>
      <c r="G171" s="38">
        <v>42957</v>
      </c>
      <c r="H171" s="262">
        <f>3892320+4944225.6+418200+2197406.4+5316240+2508384+5574259.2</f>
        <v>24851035.199999999</v>
      </c>
      <c r="I171" s="262"/>
      <c r="J171" s="262">
        <f>24851035.2+6579871-10292163-6113223.2-140000-60000-49970.19-210000-47104-25000-500000-50000-138524-505000-40000-54000-100000-50000-35000-65000-240000-100000-100000-110329-40000-500000-15094-47050-500000-474000-150000-157300-200000-217000-95000-40000-100000-54000-100000-470000-1662736-50000-386168-30000-100000-245000-500000-15000-100000-100000-100000-50000-50000+1840819-30247.29-1960035.81-23294-72275.11-200000-163000-50000</f>
        <v>5199211.6000000006</v>
      </c>
      <c r="K171" s="262">
        <f>J171</f>
        <v>5199211.6000000006</v>
      </c>
      <c r="L171" s="37" t="s">
        <v>17</v>
      </c>
      <c r="M171" s="263"/>
      <c r="N171" s="264"/>
      <c r="O171" s="264"/>
      <c r="P171" s="336">
        <f>-54000-100000-50000-35000-65000-240000-100000-100000-110329-40000-500000-15094-47050-500000-474000-150000-157300-200000-217000-95000-40000-100000-54000-100000-470000-1662736-50000-386168-30000-100000-245000-500000-15000-100000-100000-100000-50000-50000-30247.29-1960035.81-23294-72275.11-200000-163000-50000</f>
        <v>-9901529.209999999</v>
      </c>
    </row>
    <row r="172" spans="1:16">
      <c r="A172" s="256">
        <v>219</v>
      </c>
      <c r="B172" s="294" t="s">
        <v>517</v>
      </c>
      <c r="C172" s="318" t="s">
        <v>2986</v>
      </c>
      <c r="D172" s="259" t="s">
        <v>2987</v>
      </c>
      <c r="E172" s="338" t="s">
        <v>519</v>
      </c>
      <c r="F172" s="38">
        <v>43187</v>
      </c>
      <c r="G172" s="38">
        <v>43187</v>
      </c>
      <c r="H172" s="262">
        <f>5344000+5821202.5+3573099.44+3298250+2846882.4+1878750+3918237.5+4088786.25+5481357.5+2847767.5</f>
        <v>39098333.089999996</v>
      </c>
      <c r="I172" s="262"/>
      <c r="J172" s="262">
        <f>39098333.09+1284815.91+3120882</f>
        <v>43504031</v>
      </c>
      <c r="K172" s="262">
        <f>J172</f>
        <v>43504031</v>
      </c>
      <c r="L172" s="327" t="s">
        <v>17</v>
      </c>
      <c r="M172" s="267"/>
      <c r="N172" s="264"/>
      <c r="O172" s="264"/>
      <c r="P172" s="74"/>
    </row>
    <row r="173" spans="1:16">
      <c r="A173" s="256">
        <v>220</v>
      </c>
      <c r="B173" s="294" t="s">
        <v>517</v>
      </c>
      <c r="C173" s="318" t="s">
        <v>2986</v>
      </c>
      <c r="D173" s="259" t="s">
        <v>2987</v>
      </c>
      <c r="E173" s="338" t="s">
        <v>520</v>
      </c>
      <c r="F173" s="38">
        <v>43192</v>
      </c>
      <c r="G173" s="38">
        <v>43192</v>
      </c>
      <c r="H173" s="262">
        <f>8840980+3694875+2824805+2370648.5+2591172+5182344+3329525.76+4810017.5+3776287.5+4224265+4500650+3694875</f>
        <v>49840445.259999998</v>
      </c>
      <c r="I173" s="262"/>
      <c r="J173" s="262">
        <f>49840445.26-2991468+1593888.76-6246230-250000-2595732-246939.79-303231-155340+1179467-198.15 -413.18+1832640.1</f>
        <v>41656889</v>
      </c>
      <c r="K173" s="262">
        <f>J173</f>
        <v>41656889</v>
      </c>
      <c r="L173" s="327" t="s">
        <v>17</v>
      </c>
      <c r="M173" s="263"/>
      <c r="N173" s="264"/>
      <c r="O173" s="264"/>
      <c r="P173" s="336">
        <f>-2991468-6246230-250000-2595732-246939.79-303231-155340-198.15 -413.18</f>
        <v>-12789552.119999999</v>
      </c>
    </row>
    <row r="174" spans="1:16">
      <c r="A174" s="256">
        <v>221</v>
      </c>
      <c r="B174" s="294" t="s">
        <v>517</v>
      </c>
      <c r="C174" s="318" t="s">
        <v>2986</v>
      </c>
      <c r="D174" s="259" t="s">
        <v>2987</v>
      </c>
      <c r="E174" s="338" t="s">
        <v>521</v>
      </c>
      <c r="F174" s="38">
        <v>43446</v>
      </c>
      <c r="G174" s="38">
        <v>43446</v>
      </c>
      <c r="H174" s="262">
        <v>43751492.810000002</v>
      </c>
      <c r="I174" s="262"/>
      <c r="J174" s="262">
        <f>43751492.81+218757-2502148+1952029.19</f>
        <v>43420131</v>
      </c>
      <c r="K174" s="262"/>
      <c r="L174" s="327" t="s">
        <v>73</v>
      </c>
      <c r="M174" s="263"/>
      <c r="N174" s="264"/>
      <c r="O174" s="264"/>
      <c r="P174" s="336"/>
    </row>
    <row r="175" spans="1:16">
      <c r="A175" s="256">
        <v>222</v>
      </c>
      <c r="B175" s="294" t="s">
        <v>517</v>
      </c>
      <c r="C175" s="318" t="s">
        <v>2986</v>
      </c>
      <c r="D175" s="259" t="s">
        <v>2987</v>
      </c>
      <c r="E175" s="339" t="s">
        <v>522</v>
      </c>
      <c r="F175" s="38">
        <v>43447</v>
      </c>
      <c r="G175" s="38">
        <v>43447</v>
      </c>
      <c r="H175" s="262">
        <v>23183561.48</v>
      </c>
      <c r="I175" s="262"/>
      <c r="J175" s="262">
        <f>23183561.48-6679.58+110090+541699+523956.1</f>
        <v>24352627.000000004</v>
      </c>
      <c r="K175" s="262"/>
      <c r="L175" s="327" t="s">
        <v>73</v>
      </c>
      <c r="M175" s="263"/>
      <c r="N175" s="264"/>
      <c r="O175" s="264"/>
      <c r="P175" s="336"/>
    </row>
    <row r="176" spans="1:16">
      <c r="A176" s="256">
        <v>223</v>
      </c>
      <c r="B176" s="294" t="s">
        <v>517</v>
      </c>
      <c r="C176" s="318" t="s">
        <v>2986</v>
      </c>
      <c r="D176" s="259" t="s">
        <v>2987</v>
      </c>
      <c r="E176" s="339" t="s">
        <v>523</v>
      </c>
      <c r="F176" s="38">
        <v>43451</v>
      </c>
      <c r="G176" s="38">
        <v>43451</v>
      </c>
      <c r="H176" s="262">
        <v>45553867.409999996</v>
      </c>
      <c r="I176" s="262"/>
      <c r="J176" s="262">
        <f>45553687.41-4973210.1-172737.81-1615870.37-146418+135085.01-744675-7137561.5+1774678.36</f>
        <v>32672977.999999993</v>
      </c>
      <c r="K176" s="262"/>
      <c r="L176" s="327" t="s">
        <v>73</v>
      </c>
      <c r="M176" s="263"/>
      <c r="N176" s="264"/>
      <c r="O176" s="264"/>
      <c r="P176" s="336"/>
    </row>
    <row r="177" spans="1:16">
      <c r="A177" s="256">
        <v>224</v>
      </c>
      <c r="B177" s="294" t="s">
        <v>517</v>
      </c>
      <c r="C177" s="318" t="s">
        <v>2986</v>
      </c>
      <c r="D177" s="259" t="s">
        <v>2987</v>
      </c>
      <c r="E177" s="339" t="s">
        <v>72</v>
      </c>
      <c r="F177" s="38">
        <v>43826</v>
      </c>
      <c r="G177" s="38">
        <v>43461</v>
      </c>
      <c r="H177" s="262">
        <v>8034411.2400000002</v>
      </c>
      <c r="I177" s="262"/>
      <c r="J177" s="262">
        <f>8034411.24+10043-204.67+187124+180995.43</f>
        <v>8412369</v>
      </c>
      <c r="K177" s="262">
        <f>J174+J175+J176+J177</f>
        <v>108858105</v>
      </c>
      <c r="L177" s="327" t="s">
        <v>73</v>
      </c>
      <c r="M177" s="263"/>
      <c r="N177" s="264"/>
      <c r="O177" s="264"/>
      <c r="P177" s="336">
        <v>113531888.61</v>
      </c>
    </row>
    <row r="178" spans="1:16">
      <c r="A178" s="256">
        <v>225</v>
      </c>
      <c r="B178" s="294" t="s">
        <v>517</v>
      </c>
      <c r="C178" s="318" t="s">
        <v>2986</v>
      </c>
      <c r="D178" s="259" t="s">
        <v>2987</v>
      </c>
      <c r="E178" s="287" t="s">
        <v>524</v>
      </c>
      <c r="F178" s="38">
        <v>43537</v>
      </c>
      <c r="G178" s="38">
        <v>43537</v>
      </c>
      <c r="H178" s="262">
        <f>3760920+4322025+2881350+3608006.25+3547767.5-669162.25-1101041.22</f>
        <v>16349865.279999999</v>
      </c>
      <c r="I178" s="262"/>
      <c r="J178" s="262">
        <f>16349865.28+86070+414190.25-4512844.43-500000</f>
        <v>11837281.100000001</v>
      </c>
      <c r="K178" s="262">
        <f>J178</f>
        <v>11837281.100000001</v>
      </c>
      <c r="L178" s="327" t="s">
        <v>525</v>
      </c>
      <c r="M178" s="252" t="s">
        <v>526</v>
      </c>
      <c r="N178" s="264"/>
      <c r="O178" s="264"/>
      <c r="P178" s="74"/>
    </row>
    <row r="179" spans="1:16">
      <c r="A179" s="256">
        <v>81</v>
      </c>
      <c r="B179" s="299" t="s">
        <v>126</v>
      </c>
      <c r="C179" s="273" t="s">
        <v>2927</v>
      </c>
      <c r="D179" s="274" t="s">
        <v>2928</v>
      </c>
      <c r="E179" s="300" t="s">
        <v>2960</v>
      </c>
      <c r="F179" s="38" t="s">
        <v>2961</v>
      </c>
      <c r="G179" s="38" t="s">
        <v>2961</v>
      </c>
      <c r="H179" s="284">
        <f>10476000 +27842000</f>
        <v>38318000</v>
      </c>
      <c r="I179" s="284"/>
      <c r="J179" s="288">
        <f>H179+306550+307000-20000000 -1000000+587000+426000+435000+445730</f>
        <v>19825280</v>
      </c>
      <c r="K179" s="288">
        <f>J179</f>
        <v>19825280</v>
      </c>
      <c r="L179" s="256"/>
      <c r="M179" s="263"/>
      <c r="N179" s="264"/>
      <c r="O179" s="264"/>
      <c r="P179" s="256"/>
    </row>
    <row r="180" spans="1:16">
      <c r="A180" s="256">
        <v>87</v>
      </c>
      <c r="B180" s="272" t="s">
        <v>126</v>
      </c>
      <c r="C180" s="273" t="s">
        <v>2927</v>
      </c>
      <c r="D180" s="274" t="s">
        <v>2928</v>
      </c>
      <c r="E180" s="300" t="s">
        <v>2967</v>
      </c>
      <c r="F180" s="38">
        <v>45070</v>
      </c>
      <c r="G180" s="38">
        <v>45070</v>
      </c>
      <c r="H180" s="297">
        <f>45676622.49 +51872239.22 +57902513.94 +39600554.55 +8136046.06 +78895580.45 +38643064.56 +58048081.34 +6632988.63+74636549.65 +15856919.37 +45978569.34 +53909124.63 +53089334.33 +46236463.61 +32744777.98 +40110710.16 +4948879.75 +4068827.38 +47637255.5</f>
        <v>804625102.94000006</v>
      </c>
      <c r="I180" s="284"/>
      <c r="J180" s="288">
        <f>H180+7644000</f>
        <v>812269102.94000006</v>
      </c>
      <c r="K180" s="288">
        <f>J180</f>
        <v>812269102.94000006</v>
      </c>
      <c r="L180" s="256"/>
      <c r="M180" s="263"/>
      <c r="N180" s="264"/>
      <c r="O180" s="264"/>
      <c r="P180" s="256"/>
    </row>
    <row r="181" spans="1:16">
      <c r="A181" s="256">
        <v>202</v>
      </c>
      <c r="B181" s="272" t="s">
        <v>480</v>
      </c>
      <c r="C181" s="313" t="s">
        <v>2986</v>
      </c>
      <c r="D181" s="274" t="s">
        <v>2987</v>
      </c>
      <c r="E181" s="300" t="s">
        <v>481</v>
      </c>
      <c r="F181" s="38">
        <v>42100</v>
      </c>
      <c r="G181" s="38">
        <v>42100</v>
      </c>
      <c r="H181" s="262">
        <f>17698+328758+1649605.28+1619926+4835600+2120559.75+4835600</f>
        <v>15407747.030000001</v>
      </c>
      <c r="I181" s="262"/>
      <c r="J181" s="262">
        <v>16439510.630000001</v>
      </c>
      <c r="K181" s="262">
        <f>J181</f>
        <v>16439510.630000001</v>
      </c>
      <c r="L181" s="37" t="s">
        <v>17</v>
      </c>
      <c r="M181" s="267"/>
      <c r="N181" s="264"/>
      <c r="O181" s="264"/>
      <c r="P181" s="74"/>
    </row>
    <row r="182" spans="1:16" ht="15.75">
      <c r="A182" s="256"/>
      <c r="B182" s="305"/>
      <c r="C182" s="265"/>
      <c r="D182" s="265"/>
      <c r="E182" s="263"/>
      <c r="F182" s="256"/>
      <c r="G182" s="256"/>
      <c r="H182" s="312"/>
      <c r="I182" s="312"/>
      <c r="J182" s="312"/>
      <c r="K182" s="312"/>
      <c r="L182" s="256"/>
      <c r="M182" s="366"/>
      <c r="N182" s="264"/>
      <c r="O182" s="264"/>
      <c r="P182" s="256"/>
    </row>
    <row r="183" spans="1:16">
      <c r="J183" s="312"/>
    </row>
  </sheetData>
  <sortState ref="A2:P326">
    <sortCondition ref="B2:B3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2"/>
  <sheetViews>
    <sheetView topLeftCell="A192" workbookViewId="0">
      <selection activeCell="D203" sqref="D203"/>
    </sheetView>
  </sheetViews>
  <sheetFormatPr defaultRowHeight="15"/>
  <cols>
    <col min="1" max="1" width="5.140625" style="100" bestFit="1" customWidth="1"/>
    <col min="2" max="2" width="37" style="100" bestFit="1" customWidth="1"/>
    <col min="3" max="3" width="11.5703125" style="100" bestFit="1" customWidth="1"/>
    <col min="4" max="4" width="13.85546875" style="100" bestFit="1" customWidth="1"/>
    <col min="5" max="5" width="10.7109375" style="100" customWidth="1"/>
    <col min="6" max="6" width="11.28515625" style="100" bestFit="1" customWidth="1"/>
    <col min="7" max="7" width="12" style="100" bestFit="1" customWidth="1"/>
    <col min="8" max="8" width="13.140625" style="100" bestFit="1" customWidth="1"/>
    <col min="9" max="9" width="11.5703125" style="100" bestFit="1" customWidth="1"/>
    <col min="10" max="10" width="13.140625" style="100" bestFit="1" customWidth="1"/>
    <col min="11" max="11" width="15" style="100" bestFit="1" customWidth="1"/>
    <col min="12" max="12" width="17.5703125" style="100" bestFit="1" customWidth="1"/>
    <col min="13" max="13" width="18.140625" style="100" bestFit="1" customWidth="1"/>
  </cols>
  <sheetData>
    <row r="1" spans="1:13" ht="38.25">
      <c r="A1" s="95" t="s">
        <v>175</v>
      </c>
      <c r="B1" s="95" t="s">
        <v>176</v>
      </c>
      <c r="C1" s="95" t="s">
        <v>177</v>
      </c>
      <c r="D1" s="96" t="s">
        <v>178</v>
      </c>
      <c r="E1" s="96" t="s">
        <v>180</v>
      </c>
      <c r="F1" s="96" t="s">
        <v>179</v>
      </c>
      <c r="G1" s="96" t="s">
        <v>181</v>
      </c>
      <c r="H1" s="96" t="s">
        <v>182</v>
      </c>
      <c r="I1" s="96" t="s">
        <v>184</v>
      </c>
      <c r="J1" s="96" t="s">
        <v>183</v>
      </c>
      <c r="K1" s="96" t="s">
        <v>187</v>
      </c>
      <c r="L1" s="96" t="s">
        <v>185</v>
      </c>
      <c r="M1" s="96" t="s">
        <v>186</v>
      </c>
    </row>
    <row r="2" spans="1:13">
      <c r="A2" s="97">
        <v>1</v>
      </c>
      <c r="B2" s="98" t="s">
        <v>299</v>
      </c>
      <c r="C2" s="97" t="s">
        <v>298</v>
      </c>
      <c r="D2" s="99" t="s">
        <v>300</v>
      </c>
      <c r="E2" s="96" t="s">
        <v>301</v>
      </c>
      <c r="F2" s="96" t="str">
        <f>E2</f>
        <v>28-04-04</v>
      </c>
      <c r="G2" s="100">
        <v>207376.58</v>
      </c>
      <c r="H2" s="101">
        <v>0.5</v>
      </c>
      <c r="I2" s="101"/>
      <c r="J2" s="102">
        <v>0.5</v>
      </c>
      <c r="K2" s="101" t="s">
        <v>5</v>
      </c>
      <c r="L2" s="101" t="s">
        <v>5</v>
      </c>
      <c r="M2" s="103"/>
    </row>
    <row r="3" spans="1:13">
      <c r="A3" s="97">
        <v>2</v>
      </c>
      <c r="B3" s="98" t="s">
        <v>302</v>
      </c>
      <c r="C3" s="97" t="s">
        <v>298</v>
      </c>
      <c r="D3" s="96" t="s">
        <v>303</v>
      </c>
      <c r="E3" s="96" t="s">
        <v>304</v>
      </c>
      <c r="F3" s="96" t="s">
        <v>304</v>
      </c>
      <c r="G3" s="100">
        <v>1184462</v>
      </c>
      <c r="H3" s="101">
        <v>0</v>
      </c>
      <c r="I3" s="101"/>
      <c r="J3" s="102"/>
      <c r="K3" s="101" t="s">
        <v>5</v>
      </c>
      <c r="L3" s="101" t="s">
        <v>5</v>
      </c>
      <c r="M3" s="97"/>
    </row>
    <row r="4" spans="1:13">
      <c r="A4" s="97">
        <v>3</v>
      </c>
      <c r="B4" s="98" t="s">
        <v>302</v>
      </c>
      <c r="C4" s="97" t="s">
        <v>298</v>
      </c>
      <c r="D4" s="96" t="s">
        <v>305</v>
      </c>
      <c r="E4" s="96" t="s">
        <v>306</v>
      </c>
      <c r="F4" s="96" t="s">
        <v>306</v>
      </c>
      <c r="G4" s="100">
        <v>998553</v>
      </c>
      <c r="H4" s="101">
        <v>0</v>
      </c>
      <c r="I4" s="101"/>
      <c r="J4" s="102"/>
      <c r="K4" s="101" t="s">
        <v>5</v>
      </c>
      <c r="L4" s="101" t="s">
        <v>5</v>
      </c>
      <c r="M4" s="97"/>
    </row>
    <row r="5" spans="1:13">
      <c r="A5" s="97">
        <v>4</v>
      </c>
      <c r="B5" s="98" t="s">
        <v>302</v>
      </c>
      <c r="C5" s="97" t="s">
        <v>298</v>
      </c>
      <c r="D5" s="96" t="s">
        <v>307</v>
      </c>
      <c r="E5" s="96" t="s">
        <v>306</v>
      </c>
      <c r="F5" s="96" t="s">
        <v>306</v>
      </c>
      <c r="G5" s="100">
        <v>3347334</v>
      </c>
      <c r="H5" s="101">
        <v>0</v>
      </c>
      <c r="I5" s="101"/>
      <c r="J5" s="102"/>
      <c r="K5" s="101" t="s">
        <v>5</v>
      </c>
      <c r="L5" s="101" t="s">
        <v>5</v>
      </c>
      <c r="M5" s="97"/>
    </row>
    <row r="6" spans="1:13">
      <c r="A6" s="97">
        <v>5</v>
      </c>
      <c r="B6" s="98" t="s">
        <v>302</v>
      </c>
      <c r="C6" s="97" t="s">
        <v>298</v>
      </c>
      <c r="D6" s="96" t="s">
        <v>308</v>
      </c>
      <c r="E6" s="96" t="s">
        <v>306</v>
      </c>
      <c r="F6" s="96" t="s">
        <v>306</v>
      </c>
      <c r="G6" s="100">
        <v>2241762</v>
      </c>
      <c r="H6" s="101">
        <v>0</v>
      </c>
      <c r="I6" s="101"/>
      <c r="J6" s="102"/>
      <c r="K6" s="101" t="s">
        <v>5</v>
      </c>
      <c r="L6" s="101" t="s">
        <v>5</v>
      </c>
      <c r="M6" s="97"/>
    </row>
    <row r="7" spans="1:13">
      <c r="A7" s="97">
        <v>6</v>
      </c>
      <c r="B7" s="98" t="s">
        <v>302</v>
      </c>
      <c r="C7" s="97" t="s">
        <v>298</v>
      </c>
      <c r="D7" s="96" t="s">
        <v>309</v>
      </c>
      <c r="E7" s="96" t="s">
        <v>310</v>
      </c>
      <c r="F7" s="96" t="s">
        <v>310</v>
      </c>
      <c r="G7" s="100">
        <v>2297954</v>
      </c>
      <c r="H7" s="101">
        <v>0</v>
      </c>
      <c r="I7" s="101"/>
      <c r="J7" s="102"/>
      <c r="K7" s="101" t="s">
        <v>5</v>
      </c>
      <c r="L7" s="101" t="s">
        <v>5</v>
      </c>
      <c r="M7" s="97"/>
    </row>
    <row r="8" spans="1:13">
      <c r="A8" s="97">
        <v>7</v>
      </c>
      <c r="B8" s="98" t="s">
        <v>302</v>
      </c>
      <c r="C8" s="97" t="s">
        <v>298</v>
      </c>
      <c r="D8" s="96" t="s">
        <v>311</v>
      </c>
      <c r="E8" s="104" t="s">
        <v>312</v>
      </c>
      <c r="F8" s="104" t="s">
        <v>312</v>
      </c>
      <c r="G8" s="100">
        <v>3322347</v>
      </c>
      <c r="H8" s="101">
        <v>0</v>
      </c>
      <c r="I8" s="101"/>
      <c r="J8" s="102"/>
      <c r="K8" s="101" t="s">
        <v>5</v>
      </c>
      <c r="L8" s="101" t="s">
        <v>5</v>
      </c>
      <c r="M8" s="97"/>
    </row>
    <row r="9" spans="1:13">
      <c r="A9" s="97">
        <v>8</v>
      </c>
      <c r="B9" s="98" t="s">
        <v>302</v>
      </c>
      <c r="C9" s="97" t="s">
        <v>298</v>
      </c>
      <c r="D9" s="96" t="s">
        <v>313</v>
      </c>
      <c r="E9" s="104" t="s">
        <v>314</v>
      </c>
      <c r="F9" s="104" t="s">
        <v>314</v>
      </c>
      <c r="G9" s="100">
        <v>366578</v>
      </c>
      <c r="H9" s="101">
        <v>0</v>
      </c>
      <c r="I9" s="101"/>
      <c r="J9" s="102"/>
      <c r="K9" s="101" t="s">
        <v>5</v>
      </c>
      <c r="L9" s="101" t="s">
        <v>5</v>
      </c>
      <c r="M9" s="97"/>
    </row>
    <row r="10" spans="1:13">
      <c r="A10" s="97">
        <v>9</v>
      </c>
      <c r="B10" s="98" t="s">
        <v>302</v>
      </c>
      <c r="C10" s="97" t="s">
        <v>298</v>
      </c>
      <c r="D10" s="105" t="s">
        <v>315</v>
      </c>
      <c r="E10" s="96" t="s">
        <v>316</v>
      </c>
      <c r="F10" s="106">
        <v>35809</v>
      </c>
      <c r="G10" s="100">
        <v>3597095</v>
      </c>
      <c r="H10" s="101">
        <v>0</v>
      </c>
      <c r="I10" s="101"/>
      <c r="J10" s="102"/>
      <c r="K10" s="101" t="s">
        <v>5</v>
      </c>
      <c r="L10" s="101" t="s">
        <v>5</v>
      </c>
      <c r="M10" s="97"/>
    </row>
    <row r="11" spans="1:13">
      <c r="A11" s="97">
        <v>10</v>
      </c>
      <c r="B11" s="98" t="s">
        <v>302</v>
      </c>
      <c r="C11" s="97" t="s">
        <v>298</v>
      </c>
      <c r="D11" s="105" t="s">
        <v>317</v>
      </c>
      <c r="E11" s="106" t="s">
        <v>316</v>
      </c>
      <c r="F11" s="106" t="s">
        <v>316</v>
      </c>
      <c r="G11" s="100">
        <v>3384345</v>
      </c>
      <c r="H11" s="101">
        <v>0</v>
      </c>
      <c r="I11" s="101"/>
      <c r="J11" s="102"/>
      <c r="K11" s="101" t="s">
        <v>5</v>
      </c>
      <c r="L11" s="101" t="s">
        <v>5</v>
      </c>
      <c r="M11" s="97"/>
    </row>
    <row r="12" spans="1:13">
      <c r="A12" s="97">
        <v>11</v>
      </c>
      <c r="B12" s="98" t="s">
        <v>302</v>
      </c>
      <c r="C12" s="97" t="s">
        <v>298</v>
      </c>
      <c r="D12" s="105" t="s">
        <v>318</v>
      </c>
      <c r="E12" s="104" t="s">
        <v>319</v>
      </c>
      <c r="F12" s="104" t="s">
        <v>319</v>
      </c>
      <c r="G12" s="100">
        <v>4240752</v>
      </c>
      <c r="H12" s="101"/>
      <c r="I12" s="101"/>
      <c r="J12" s="102"/>
      <c r="K12" s="101" t="s">
        <v>5</v>
      </c>
      <c r="L12" s="101" t="s">
        <v>5</v>
      </c>
      <c r="M12" s="97"/>
    </row>
    <row r="13" spans="1:13">
      <c r="A13" s="97">
        <v>12</v>
      </c>
      <c r="B13" s="98" t="s">
        <v>302</v>
      </c>
      <c r="C13" s="97" t="s">
        <v>298</v>
      </c>
      <c r="D13" s="96" t="s">
        <v>320</v>
      </c>
      <c r="E13" s="96" t="s">
        <v>321</v>
      </c>
      <c r="F13" s="96" t="s">
        <v>321</v>
      </c>
      <c r="G13" s="100">
        <v>1030053</v>
      </c>
      <c r="H13" s="101">
        <v>0</v>
      </c>
      <c r="I13" s="101"/>
      <c r="J13" s="102"/>
      <c r="K13" s="101" t="s">
        <v>5</v>
      </c>
      <c r="L13" s="101" t="s">
        <v>5</v>
      </c>
      <c r="M13" s="97"/>
    </row>
    <row r="14" spans="1:13">
      <c r="A14" s="97">
        <v>13</v>
      </c>
      <c r="B14" s="98" t="s">
        <v>302</v>
      </c>
      <c r="C14" s="97" t="s">
        <v>298</v>
      </c>
      <c r="D14" s="96" t="s">
        <v>322</v>
      </c>
      <c r="E14" s="106" t="s">
        <v>321</v>
      </c>
      <c r="F14" s="106" t="s">
        <v>321</v>
      </c>
      <c r="G14" s="100">
        <v>951345</v>
      </c>
      <c r="H14" s="101">
        <v>0</v>
      </c>
      <c r="I14" s="101"/>
      <c r="J14" s="102"/>
      <c r="K14" s="101" t="s">
        <v>5</v>
      </c>
      <c r="L14" s="101" t="s">
        <v>5</v>
      </c>
      <c r="M14" s="97"/>
    </row>
    <row r="15" spans="1:13">
      <c r="A15" s="97">
        <v>14</v>
      </c>
      <c r="B15" s="98" t="s">
        <v>302</v>
      </c>
      <c r="C15" s="97" t="s">
        <v>298</v>
      </c>
      <c r="D15" s="96" t="s">
        <v>323</v>
      </c>
      <c r="E15" s="104" t="s">
        <v>324</v>
      </c>
      <c r="F15" s="104" t="s">
        <v>324</v>
      </c>
      <c r="G15" s="100">
        <v>1996606</v>
      </c>
      <c r="H15" s="101">
        <v>0</v>
      </c>
      <c r="I15" s="101"/>
      <c r="J15" s="102">
        <v>0</v>
      </c>
      <c r="K15" s="101" t="s">
        <v>5</v>
      </c>
      <c r="L15" s="101" t="s">
        <v>5</v>
      </c>
      <c r="M15" s="97"/>
    </row>
    <row r="16" spans="1:13">
      <c r="A16" s="97">
        <v>15</v>
      </c>
      <c r="B16" s="98" t="s">
        <v>325</v>
      </c>
      <c r="C16" s="97" t="s">
        <v>298</v>
      </c>
      <c r="D16" s="96" t="s">
        <v>326</v>
      </c>
      <c r="E16" s="96" t="s">
        <v>327</v>
      </c>
      <c r="F16" s="96" t="s">
        <v>327</v>
      </c>
      <c r="G16" s="100">
        <v>404049</v>
      </c>
      <c r="H16" s="101">
        <v>394500</v>
      </c>
      <c r="I16" s="101"/>
      <c r="J16" s="102">
        <v>394500</v>
      </c>
      <c r="K16" s="101" t="s">
        <v>5</v>
      </c>
      <c r="L16" s="101" t="s">
        <v>5</v>
      </c>
      <c r="M16" s="97"/>
    </row>
    <row r="17" spans="1:13">
      <c r="A17" s="97">
        <v>16</v>
      </c>
      <c r="B17" s="98" t="s">
        <v>328</v>
      </c>
      <c r="C17" s="97" t="s">
        <v>298</v>
      </c>
      <c r="D17" s="99" t="s">
        <v>329</v>
      </c>
      <c r="E17" s="106">
        <v>32025</v>
      </c>
      <c r="F17" s="106">
        <v>32025</v>
      </c>
      <c r="G17" s="100">
        <v>867890</v>
      </c>
      <c r="H17" s="101">
        <v>0</v>
      </c>
      <c r="I17" s="101"/>
      <c r="J17" s="102"/>
      <c r="K17" s="101" t="s">
        <v>5</v>
      </c>
      <c r="L17" s="101" t="s">
        <v>5</v>
      </c>
      <c r="M17" s="97"/>
    </row>
    <row r="18" spans="1:13">
      <c r="A18" s="97">
        <v>17</v>
      </c>
      <c r="B18" s="98" t="s">
        <v>328</v>
      </c>
      <c r="C18" s="97" t="s">
        <v>298</v>
      </c>
      <c r="D18" s="99" t="s">
        <v>330</v>
      </c>
      <c r="E18" s="96" t="s">
        <v>331</v>
      </c>
      <c r="F18" s="96" t="s">
        <v>331</v>
      </c>
      <c r="G18" s="100">
        <v>1375501</v>
      </c>
      <c r="H18" s="101">
        <v>0</v>
      </c>
      <c r="I18" s="101"/>
      <c r="J18" s="102"/>
      <c r="K18" s="101" t="s">
        <v>5</v>
      </c>
      <c r="L18" s="101" t="s">
        <v>5</v>
      </c>
      <c r="M18" s="97"/>
    </row>
    <row r="19" spans="1:13">
      <c r="A19" s="97">
        <v>18</v>
      </c>
      <c r="B19" s="98" t="s">
        <v>328</v>
      </c>
      <c r="C19" s="97" t="s">
        <v>298</v>
      </c>
      <c r="D19" s="96" t="s">
        <v>332</v>
      </c>
      <c r="E19" s="96" t="s">
        <v>333</v>
      </c>
      <c r="F19" s="96" t="s">
        <v>333</v>
      </c>
      <c r="G19" s="100">
        <v>3347028</v>
      </c>
      <c r="H19" s="101">
        <v>0</v>
      </c>
      <c r="I19" s="101"/>
      <c r="J19" s="102"/>
      <c r="K19" s="101" t="s">
        <v>5</v>
      </c>
      <c r="L19" s="101" t="s">
        <v>5</v>
      </c>
      <c r="M19" s="97"/>
    </row>
    <row r="20" spans="1:13">
      <c r="A20" s="97">
        <v>19</v>
      </c>
      <c r="B20" s="98" t="s">
        <v>328</v>
      </c>
      <c r="C20" s="97" t="s">
        <v>298</v>
      </c>
      <c r="D20" s="96" t="s">
        <v>334</v>
      </c>
      <c r="E20" s="96" t="s">
        <v>335</v>
      </c>
      <c r="F20" s="96" t="s">
        <v>335</v>
      </c>
      <c r="G20" s="100">
        <v>298554</v>
      </c>
      <c r="H20" s="101">
        <v>0</v>
      </c>
      <c r="I20" s="101"/>
      <c r="J20" s="102"/>
      <c r="K20" s="101" t="s">
        <v>5</v>
      </c>
      <c r="L20" s="101" t="s">
        <v>5</v>
      </c>
      <c r="M20" s="97"/>
    </row>
    <row r="21" spans="1:13">
      <c r="A21" s="97">
        <v>20</v>
      </c>
      <c r="B21" s="98" t="s">
        <v>328</v>
      </c>
      <c r="C21" s="97" t="s">
        <v>298</v>
      </c>
      <c r="D21" s="96" t="s">
        <v>336</v>
      </c>
      <c r="E21" s="106">
        <v>34367</v>
      </c>
      <c r="F21" s="106">
        <v>34367</v>
      </c>
      <c r="G21" s="100">
        <v>668267</v>
      </c>
      <c r="H21" s="101">
        <v>0</v>
      </c>
      <c r="I21" s="101"/>
      <c r="J21" s="102"/>
      <c r="K21" s="101" t="s">
        <v>5</v>
      </c>
      <c r="L21" s="101" t="s">
        <v>5</v>
      </c>
      <c r="M21" s="97"/>
    </row>
    <row r="22" spans="1:13">
      <c r="A22" s="97">
        <v>21</v>
      </c>
      <c r="B22" s="98" t="s">
        <v>328</v>
      </c>
      <c r="C22" s="97" t="s">
        <v>298</v>
      </c>
      <c r="D22" s="96" t="s">
        <v>337</v>
      </c>
      <c r="E22" s="106">
        <v>34497</v>
      </c>
      <c r="F22" s="106">
        <v>34497</v>
      </c>
      <c r="G22" s="100">
        <v>543760</v>
      </c>
      <c r="H22" s="101">
        <v>0</v>
      </c>
      <c r="I22" s="101"/>
      <c r="J22" s="102"/>
      <c r="K22" s="101" t="s">
        <v>5</v>
      </c>
      <c r="L22" s="101" t="s">
        <v>5</v>
      </c>
      <c r="M22" s="97"/>
    </row>
    <row r="23" spans="1:13">
      <c r="A23" s="97">
        <v>22</v>
      </c>
      <c r="B23" s="98" t="s">
        <v>328</v>
      </c>
      <c r="C23" s="97" t="s">
        <v>298</v>
      </c>
      <c r="D23" s="96" t="s">
        <v>338</v>
      </c>
      <c r="E23" s="96" t="s">
        <v>339</v>
      </c>
      <c r="F23" s="96" t="s">
        <v>339</v>
      </c>
      <c r="G23" s="100">
        <v>74297</v>
      </c>
      <c r="H23" s="101">
        <v>0</v>
      </c>
      <c r="I23" s="101"/>
      <c r="J23" s="102"/>
      <c r="K23" s="101" t="s">
        <v>5</v>
      </c>
      <c r="L23" s="101" t="s">
        <v>5</v>
      </c>
      <c r="M23" s="97"/>
    </row>
    <row r="24" spans="1:13">
      <c r="A24" s="97">
        <v>23</v>
      </c>
      <c r="B24" s="98" t="s">
        <v>328</v>
      </c>
      <c r="C24" s="97" t="s">
        <v>298</v>
      </c>
      <c r="D24" s="96" t="s">
        <v>340</v>
      </c>
      <c r="E24" s="96" t="s">
        <v>341</v>
      </c>
      <c r="F24" s="96" t="s">
        <v>341</v>
      </c>
      <c r="G24" s="100">
        <v>1542847</v>
      </c>
      <c r="H24" s="101">
        <v>2500000.8199999998</v>
      </c>
      <c r="I24" s="101"/>
      <c r="J24" s="102">
        <v>2500000.8199999998</v>
      </c>
      <c r="K24" s="101" t="s">
        <v>5</v>
      </c>
      <c r="L24" s="101" t="s">
        <v>5</v>
      </c>
      <c r="M24" s="97"/>
    </row>
    <row r="25" spans="1:13">
      <c r="A25" s="97">
        <v>24</v>
      </c>
      <c r="B25" s="98" t="s">
        <v>342</v>
      </c>
      <c r="C25" s="97" t="s">
        <v>298</v>
      </c>
      <c r="D25" s="96" t="s">
        <v>343</v>
      </c>
      <c r="E25" s="106">
        <v>35708</v>
      </c>
      <c r="F25" s="106">
        <v>35708</v>
      </c>
      <c r="G25" s="100">
        <v>1492420</v>
      </c>
      <c r="H25" s="101">
        <v>7951</v>
      </c>
      <c r="I25" s="101"/>
      <c r="J25" s="102">
        <v>7951</v>
      </c>
      <c r="K25" s="101" t="s">
        <v>5</v>
      </c>
      <c r="L25" s="101" t="s">
        <v>5</v>
      </c>
      <c r="M25" s="97"/>
    </row>
    <row r="26" spans="1:13">
      <c r="A26" s="97">
        <v>25</v>
      </c>
      <c r="B26" s="98" t="s">
        <v>344</v>
      </c>
      <c r="C26" s="97" t="s">
        <v>298</v>
      </c>
      <c r="D26" s="96" t="s">
        <v>345</v>
      </c>
      <c r="E26" s="96" t="s">
        <v>346</v>
      </c>
      <c r="F26" s="96" t="s">
        <v>346</v>
      </c>
      <c r="G26" s="100">
        <v>36714</v>
      </c>
      <c r="H26" s="101">
        <v>0</v>
      </c>
      <c r="I26" s="101"/>
      <c r="J26" s="102"/>
      <c r="K26" s="101" t="s">
        <v>5</v>
      </c>
      <c r="L26" s="101" t="s">
        <v>5</v>
      </c>
      <c r="M26" s="97"/>
    </row>
    <row r="27" spans="1:13">
      <c r="A27" s="97">
        <v>26</v>
      </c>
      <c r="B27" s="98" t="s">
        <v>344</v>
      </c>
      <c r="C27" s="97" t="s">
        <v>298</v>
      </c>
      <c r="D27" s="107" t="s">
        <v>347</v>
      </c>
      <c r="E27" s="96" t="s">
        <v>348</v>
      </c>
      <c r="F27" s="96" t="s">
        <v>348</v>
      </c>
      <c r="G27" s="100">
        <v>238800</v>
      </c>
      <c r="H27" s="101">
        <v>0</v>
      </c>
      <c r="I27" s="101"/>
      <c r="J27" s="102">
        <v>0</v>
      </c>
      <c r="K27" s="101" t="s">
        <v>5</v>
      </c>
      <c r="L27" s="101" t="s">
        <v>5</v>
      </c>
      <c r="M27" s="97"/>
    </row>
    <row r="28" spans="1:13">
      <c r="A28" s="97">
        <v>27</v>
      </c>
      <c r="B28" s="98" t="s">
        <v>349</v>
      </c>
      <c r="C28" s="97" t="s">
        <v>298</v>
      </c>
      <c r="D28" s="96" t="s">
        <v>350</v>
      </c>
      <c r="E28" s="106">
        <v>36050</v>
      </c>
      <c r="F28" s="106">
        <v>36050</v>
      </c>
      <c r="G28" s="100">
        <v>2821363</v>
      </c>
      <c r="H28" s="101" t="s">
        <v>351</v>
      </c>
      <c r="I28" s="101"/>
      <c r="J28" s="102">
        <v>0</v>
      </c>
      <c r="K28" s="101" t="s">
        <v>5</v>
      </c>
      <c r="L28" s="101" t="s">
        <v>5</v>
      </c>
      <c r="M28" s="97"/>
    </row>
    <row r="29" spans="1:13">
      <c r="A29" s="97">
        <v>28</v>
      </c>
      <c r="B29" s="98" t="s">
        <v>352</v>
      </c>
      <c r="C29" s="97" t="s">
        <v>298</v>
      </c>
      <c r="D29" s="96" t="s">
        <v>353</v>
      </c>
      <c r="E29" s="96" t="s">
        <v>354</v>
      </c>
      <c r="F29" s="96" t="s">
        <v>354</v>
      </c>
      <c r="G29" s="100">
        <v>16525277</v>
      </c>
      <c r="H29" s="101">
        <v>1</v>
      </c>
      <c r="I29" s="101"/>
      <c r="J29" s="102">
        <v>1</v>
      </c>
      <c r="K29" s="101" t="s">
        <v>20</v>
      </c>
      <c r="L29" s="101" t="s">
        <v>20</v>
      </c>
      <c r="M29" s="97"/>
    </row>
    <row r="30" spans="1:13">
      <c r="A30" s="97">
        <v>29</v>
      </c>
      <c r="B30" s="98" t="s">
        <v>355</v>
      </c>
      <c r="C30" s="97" t="s">
        <v>298</v>
      </c>
      <c r="D30" s="99" t="s">
        <v>356</v>
      </c>
      <c r="E30" s="96" t="s">
        <v>357</v>
      </c>
      <c r="F30" s="96" t="s">
        <v>357</v>
      </c>
      <c r="G30" s="100">
        <v>4928030</v>
      </c>
      <c r="H30" s="101">
        <v>3077585</v>
      </c>
      <c r="I30" s="101"/>
      <c r="J30" s="102">
        <v>3077585</v>
      </c>
      <c r="K30" s="101" t="s">
        <v>20</v>
      </c>
      <c r="L30" s="101" t="s">
        <v>20</v>
      </c>
      <c r="M30" s="97"/>
    </row>
    <row r="31" spans="1:13">
      <c r="A31" s="97">
        <v>30</v>
      </c>
      <c r="B31" s="98" t="s">
        <v>358</v>
      </c>
      <c r="C31" s="97" t="s">
        <v>298</v>
      </c>
      <c r="D31" s="108" t="s">
        <v>359</v>
      </c>
      <c r="E31" s="96" t="s">
        <v>360</v>
      </c>
      <c r="F31" s="96" t="s">
        <v>360</v>
      </c>
      <c r="G31" s="100">
        <v>2769155</v>
      </c>
      <c r="H31" s="101">
        <v>1</v>
      </c>
      <c r="I31" s="101"/>
      <c r="J31" s="102">
        <v>1</v>
      </c>
      <c r="K31" s="101" t="s">
        <v>20</v>
      </c>
      <c r="L31" s="101" t="s">
        <v>20</v>
      </c>
      <c r="M31" s="97"/>
    </row>
    <row r="32" spans="1:13">
      <c r="A32" s="97">
        <v>31</v>
      </c>
      <c r="B32" s="98" t="s">
        <v>361</v>
      </c>
      <c r="C32" s="97" t="s">
        <v>298</v>
      </c>
      <c r="D32" s="96" t="s">
        <v>362</v>
      </c>
      <c r="E32" s="96" t="s">
        <v>363</v>
      </c>
      <c r="F32" s="96" t="s">
        <v>363</v>
      </c>
      <c r="G32" s="100">
        <v>6314254.4199999999</v>
      </c>
      <c r="H32" s="101">
        <v>0.42</v>
      </c>
      <c r="I32" s="101"/>
      <c r="J32" s="102">
        <v>0.42</v>
      </c>
      <c r="K32" s="101" t="s">
        <v>20</v>
      </c>
      <c r="L32" s="101" t="s">
        <v>20</v>
      </c>
      <c r="M32" s="97"/>
    </row>
    <row r="33" spans="1:13">
      <c r="A33" s="97">
        <v>32</v>
      </c>
      <c r="B33" s="98" t="s">
        <v>364</v>
      </c>
      <c r="C33" s="97" t="s">
        <v>298</v>
      </c>
      <c r="D33" s="96" t="s">
        <v>365</v>
      </c>
      <c r="E33" s="96" t="s">
        <v>366</v>
      </c>
      <c r="F33" s="96" t="s">
        <v>366</v>
      </c>
      <c r="G33" s="100">
        <v>1779056.46</v>
      </c>
      <c r="H33" s="101">
        <v>1994531.46</v>
      </c>
      <c r="I33" s="101"/>
      <c r="J33" s="102">
        <v>1994531.46</v>
      </c>
      <c r="K33" s="101" t="s">
        <v>17</v>
      </c>
      <c r="L33" s="101" t="s">
        <v>17</v>
      </c>
      <c r="M33" s="97"/>
    </row>
    <row r="34" spans="1:13">
      <c r="A34" s="97">
        <v>33</v>
      </c>
      <c r="B34" s="98" t="s">
        <v>367</v>
      </c>
      <c r="C34" s="97" t="s">
        <v>298</v>
      </c>
      <c r="D34" s="96" t="s">
        <v>368</v>
      </c>
      <c r="E34" s="96" t="s">
        <v>369</v>
      </c>
      <c r="F34" s="96" t="s">
        <v>369</v>
      </c>
      <c r="G34" s="100">
        <v>621942</v>
      </c>
      <c r="H34" s="101">
        <v>859949</v>
      </c>
      <c r="I34" s="101"/>
      <c r="J34" s="102"/>
      <c r="K34" s="101" t="s">
        <v>17</v>
      </c>
      <c r="L34" s="101" t="s">
        <v>17</v>
      </c>
      <c r="M34" s="97"/>
    </row>
    <row r="35" spans="1:13">
      <c r="A35" s="97">
        <v>34</v>
      </c>
      <c r="B35" s="98" t="s">
        <v>367</v>
      </c>
      <c r="C35" s="97" t="s">
        <v>298</v>
      </c>
      <c r="D35" s="96" t="s">
        <v>370</v>
      </c>
      <c r="E35" s="96" t="s">
        <v>371</v>
      </c>
      <c r="F35" s="96" t="s">
        <v>371</v>
      </c>
      <c r="G35" s="100">
        <v>2571483</v>
      </c>
      <c r="H35" s="101">
        <v>3503141</v>
      </c>
      <c r="I35" s="101"/>
      <c r="J35" s="102">
        <v>4363090</v>
      </c>
      <c r="K35" s="101" t="s">
        <v>17</v>
      </c>
      <c r="L35" s="101" t="s">
        <v>17</v>
      </c>
      <c r="M35" s="97"/>
    </row>
    <row r="36" spans="1:13">
      <c r="A36" s="97">
        <v>35</v>
      </c>
      <c r="B36" s="98" t="s">
        <v>372</v>
      </c>
      <c r="C36" s="97" t="s">
        <v>298</v>
      </c>
      <c r="D36" s="96" t="s">
        <v>373</v>
      </c>
      <c r="E36" s="96" t="s">
        <v>374</v>
      </c>
      <c r="F36" s="96" t="s">
        <v>374</v>
      </c>
      <c r="G36" s="100">
        <v>13791840</v>
      </c>
      <c r="H36" s="101">
        <v>0</v>
      </c>
      <c r="I36" s="101"/>
      <c r="J36" s="102"/>
      <c r="K36" s="101" t="s">
        <v>17</v>
      </c>
      <c r="L36" s="101" t="s">
        <v>17</v>
      </c>
      <c r="M36" s="97"/>
    </row>
    <row r="37" spans="1:13">
      <c r="A37" s="97">
        <v>36</v>
      </c>
      <c r="B37" s="98" t="s">
        <v>372</v>
      </c>
      <c r="C37" s="97" t="s">
        <v>298</v>
      </c>
      <c r="D37" s="96" t="s">
        <v>375</v>
      </c>
      <c r="E37" s="106">
        <v>35643</v>
      </c>
      <c r="F37" s="106">
        <v>35643</v>
      </c>
      <c r="G37" s="100">
        <v>87719</v>
      </c>
      <c r="H37" s="101">
        <v>0</v>
      </c>
      <c r="I37" s="101"/>
      <c r="J37" s="102"/>
      <c r="K37" s="101" t="s">
        <v>17</v>
      </c>
      <c r="L37" s="101" t="s">
        <v>17</v>
      </c>
      <c r="M37" s="97"/>
    </row>
    <row r="38" spans="1:13">
      <c r="A38" s="97">
        <v>37</v>
      </c>
      <c r="B38" s="98" t="s">
        <v>372</v>
      </c>
      <c r="C38" s="97" t="s">
        <v>298</v>
      </c>
      <c r="D38" s="96" t="s">
        <v>376</v>
      </c>
      <c r="E38" s="106">
        <v>37998</v>
      </c>
      <c r="F38" s="106">
        <v>37998</v>
      </c>
      <c r="G38" s="100">
        <v>34388</v>
      </c>
      <c r="H38" s="101">
        <v>0</v>
      </c>
      <c r="I38" s="101"/>
      <c r="J38" s="102">
        <v>0</v>
      </c>
      <c r="K38" s="101" t="s">
        <v>17</v>
      </c>
      <c r="L38" s="101" t="s">
        <v>17</v>
      </c>
      <c r="M38" s="97"/>
    </row>
    <row r="39" spans="1:13">
      <c r="A39" s="97">
        <v>38</v>
      </c>
      <c r="B39" s="98" t="s">
        <v>377</v>
      </c>
      <c r="C39" s="97" t="s">
        <v>298</v>
      </c>
      <c r="D39" s="96" t="s">
        <v>378</v>
      </c>
      <c r="E39" s="96" t="s">
        <v>379</v>
      </c>
      <c r="F39" s="96" t="s">
        <v>379</v>
      </c>
      <c r="G39" s="100">
        <v>4869723</v>
      </c>
      <c r="H39" s="101">
        <v>6962737.4000000004</v>
      </c>
      <c r="I39" s="101"/>
      <c r="J39" s="102"/>
      <c r="K39" s="101" t="s">
        <v>17</v>
      </c>
      <c r="L39" s="101" t="s">
        <v>17</v>
      </c>
      <c r="M39" s="97"/>
    </row>
    <row r="40" spans="1:13">
      <c r="A40" s="97">
        <v>39</v>
      </c>
      <c r="B40" s="98" t="s">
        <v>377</v>
      </c>
      <c r="C40" s="97" t="s">
        <v>298</v>
      </c>
      <c r="D40" s="96" t="s">
        <v>380</v>
      </c>
      <c r="E40" s="96" t="s">
        <v>381</v>
      </c>
      <c r="F40" s="96" t="s">
        <v>381</v>
      </c>
      <c r="G40" s="100">
        <v>133024</v>
      </c>
      <c r="H40" s="101">
        <v>157611</v>
      </c>
      <c r="I40" s="101"/>
      <c r="J40" s="102"/>
      <c r="K40" s="101" t="s">
        <v>17</v>
      </c>
      <c r="L40" s="101" t="s">
        <v>17</v>
      </c>
      <c r="M40" s="97"/>
    </row>
    <row r="41" spans="1:13">
      <c r="A41" s="97">
        <v>40</v>
      </c>
      <c r="B41" s="98" t="s">
        <v>377</v>
      </c>
      <c r="C41" s="97" t="s">
        <v>298</v>
      </c>
      <c r="D41" s="96" t="s">
        <v>382</v>
      </c>
      <c r="E41" s="96" t="s">
        <v>383</v>
      </c>
      <c r="F41" s="96" t="s">
        <v>383</v>
      </c>
      <c r="G41" s="100">
        <v>2325219</v>
      </c>
      <c r="H41" s="101">
        <v>2214536.25</v>
      </c>
      <c r="I41" s="101"/>
      <c r="J41" s="102"/>
      <c r="K41" s="101" t="s">
        <v>17</v>
      </c>
      <c r="L41" s="101" t="s">
        <v>17</v>
      </c>
      <c r="M41" s="97"/>
    </row>
    <row r="42" spans="1:13">
      <c r="A42" s="97">
        <v>41</v>
      </c>
      <c r="B42" s="98" t="s">
        <v>377</v>
      </c>
      <c r="C42" s="97" t="s">
        <v>298</v>
      </c>
      <c r="D42" s="96" t="s">
        <v>384</v>
      </c>
      <c r="E42" s="106">
        <v>35893</v>
      </c>
      <c r="F42" s="106">
        <v>35893</v>
      </c>
      <c r="G42" s="100">
        <v>200500</v>
      </c>
      <c r="H42" s="101">
        <v>303516</v>
      </c>
      <c r="I42" s="101"/>
      <c r="J42" s="102"/>
      <c r="K42" s="101" t="s">
        <v>17</v>
      </c>
      <c r="L42" s="101" t="s">
        <v>17</v>
      </c>
      <c r="M42" s="97"/>
    </row>
    <row r="43" spans="1:13">
      <c r="A43" s="97">
        <v>42</v>
      </c>
      <c r="B43" s="98" t="s">
        <v>377</v>
      </c>
      <c r="C43" s="97" t="s">
        <v>298</v>
      </c>
      <c r="D43" s="96" t="s">
        <v>385</v>
      </c>
      <c r="E43" s="96" t="s">
        <v>386</v>
      </c>
      <c r="F43" s="96" t="s">
        <v>386</v>
      </c>
      <c r="G43" s="100">
        <v>2825248</v>
      </c>
      <c r="H43" s="101">
        <v>316093.59999999998</v>
      </c>
      <c r="I43" s="101"/>
      <c r="J43" s="102"/>
      <c r="K43" s="101" t="s">
        <v>17</v>
      </c>
      <c r="L43" s="101" t="s">
        <v>17</v>
      </c>
      <c r="M43" s="97"/>
    </row>
    <row r="44" spans="1:13">
      <c r="A44" s="97">
        <v>43</v>
      </c>
      <c r="B44" s="98" t="s">
        <v>377</v>
      </c>
      <c r="C44" s="97" t="s">
        <v>298</v>
      </c>
      <c r="D44" s="105" t="s">
        <v>387</v>
      </c>
      <c r="E44" s="106">
        <v>36222</v>
      </c>
      <c r="F44" s="106">
        <v>36222</v>
      </c>
      <c r="G44" s="100">
        <v>1400435</v>
      </c>
      <c r="H44" s="101">
        <v>782904.73</v>
      </c>
      <c r="I44" s="101"/>
      <c r="J44" s="102"/>
      <c r="K44" s="101" t="s">
        <v>17</v>
      </c>
      <c r="L44" s="101" t="s">
        <v>17</v>
      </c>
      <c r="M44" s="97"/>
    </row>
    <row r="45" spans="1:13">
      <c r="A45" s="97">
        <v>44</v>
      </c>
      <c r="B45" s="98" t="s">
        <v>377</v>
      </c>
      <c r="C45" s="97" t="s">
        <v>298</v>
      </c>
      <c r="D45" s="107" t="s">
        <v>388</v>
      </c>
      <c r="E45" s="106">
        <v>37414</v>
      </c>
      <c r="F45" s="106">
        <v>37414</v>
      </c>
      <c r="G45" s="100">
        <v>717259</v>
      </c>
      <c r="H45" s="101">
        <v>717259</v>
      </c>
      <c r="I45" s="101"/>
      <c r="J45" s="102">
        <v>11454657.98</v>
      </c>
      <c r="K45" s="101" t="s">
        <v>17</v>
      </c>
      <c r="L45" s="101" t="s">
        <v>17</v>
      </c>
      <c r="M45" s="97"/>
    </row>
    <row r="46" spans="1:13">
      <c r="A46" s="97">
        <v>45</v>
      </c>
      <c r="B46" s="98" t="s">
        <v>389</v>
      </c>
      <c r="C46" s="97" t="s">
        <v>298</v>
      </c>
      <c r="D46" s="96" t="s">
        <v>390</v>
      </c>
      <c r="E46" s="96" t="s">
        <v>391</v>
      </c>
      <c r="F46" s="96" t="s">
        <v>391</v>
      </c>
      <c r="G46" s="100">
        <v>493747.85</v>
      </c>
      <c r="H46" s="101">
        <v>422451.53</v>
      </c>
      <c r="I46" s="101"/>
      <c r="J46" s="102">
        <v>422451.53</v>
      </c>
      <c r="K46" s="101" t="s">
        <v>17</v>
      </c>
      <c r="L46" s="101" t="s">
        <v>17</v>
      </c>
      <c r="M46" s="97"/>
    </row>
    <row r="47" spans="1:13">
      <c r="A47" s="97">
        <v>46</v>
      </c>
      <c r="B47" s="98" t="s">
        <v>392</v>
      </c>
      <c r="C47" s="97" t="s">
        <v>298</v>
      </c>
      <c r="D47" s="96" t="s">
        <v>393</v>
      </c>
      <c r="E47" s="96" t="s">
        <v>394</v>
      </c>
      <c r="F47" s="96" t="s">
        <v>394</v>
      </c>
      <c r="G47" s="100">
        <v>132507</v>
      </c>
      <c r="H47" s="101">
        <v>134325</v>
      </c>
      <c r="I47" s="101"/>
      <c r="J47" s="102">
        <v>134325</v>
      </c>
      <c r="K47" s="101" t="s">
        <v>17</v>
      </c>
      <c r="L47" s="101" t="s">
        <v>17</v>
      </c>
      <c r="M47" s="97"/>
    </row>
    <row r="48" spans="1:13">
      <c r="A48" s="97">
        <v>47</v>
      </c>
      <c r="B48" s="98" t="s">
        <v>395</v>
      </c>
      <c r="C48" s="97" t="s">
        <v>298</v>
      </c>
      <c r="D48" s="107" t="s">
        <v>396</v>
      </c>
      <c r="E48" s="106">
        <v>38413</v>
      </c>
      <c r="F48" s="106">
        <v>38413</v>
      </c>
      <c r="G48" s="100">
        <v>1692223.4</v>
      </c>
      <c r="H48" s="101">
        <v>2958098</v>
      </c>
      <c r="I48" s="101"/>
      <c r="J48" s="102">
        <v>2958098</v>
      </c>
      <c r="K48" s="101" t="s">
        <v>17</v>
      </c>
      <c r="L48" s="101" t="s">
        <v>17</v>
      </c>
      <c r="M48" s="97"/>
    </row>
    <row r="49" spans="1:13">
      <c r="A49" s="97">
        <v>48</v>
      </c>
      <c r="B49" s="98" t="s">
        <v>397</v>
      </c>
      <c r="C49" s="97" t="s">
        <v>298</v>
      </c>
      <c r="D49" s="99" t="s">
        <v>398</v>
      </c>
      <c r="E49" s="96" t="s">
        <v>399</v>
      </c>
      <c r="F49" s="96" t="s">
        <v>399</v>
      </c>
      <c r="G49" s="100">
        <v>464864</v>
      </c>
      <c r="H49" s="101">
        <v>1058652</v>
      </c>
      <c r="I49" s="101"/>
      <c r="J49" s="102"/>
      <c r="K49" s="101" t="s">
        <v>17</v>
      </c>
      <c r="L49" s="101" t="s">
        <v>17</v>
      </c>
      <c r="M49" s="97"/>
    </row>
    <row r="50" spans="1:13">
      <c r="A50" s="97">
        <v>49</v>
      </c>
      <c r="B50" s="98" t="s">
        <v>397</v>
      </c>
      <c r="C50" s="97" t="s">
        <v>298</v>
      </c>
      <c r="D50" s="96" t="s">
        <v>400</v>
      </c>
      <c r="E50" s="96" t="s">
        <v>401</v>
      </c>
      <c r="F50" s="96" t="s">
        <v>401</v>
      </c>
      <c r="G50" s="100">
        <v>334570</v>
      </c>
      <c r="H50" s="101">
        <v>346018.39</v>
      </c>
      <c r="I50" s="101"/>
      <c r="J50" s="102">
        <v>1404670.3900000001</v>
      </c>
      <c r="K50" s="101" t="s">
        <v>17</v>
      </c>
      <c r="L50" s="101" t="s">
        <v>17</v>
      </c>
      <c r="M50" s="97"/>
    </row>
    <row r="51" spans="1:13">
      <c r="A51" s="97">
        <v>50</v>
      </c>
      <c r="B51" s="98" t="s">
        <v>402</v>
      </c>
      <c r="C51" s="97" t="s">
        <v>298</v>
      </c>
      <c r="D51" s="96" t="s">
        <v>403</v>
      </c>
      <c r="E51" s="104" t="s">
        <v>404</v>
      </c>
      <c r="F51" s="104" t="s">
        <v>404</v>
      </c>
      <c r="G51" s="100">
        <v>152391.10999999999</v>
      </c>
      <c r="H51" s="101">
        <v>158476.10999999999</v>
      </c>
      <c r="I51" s="101"/>
      <c r="J51" s="102">
        <v>158476.10999999999</v>
      </c>
      <c r="K51" s="101" t="s">
        <v>17</v>
      </c>
      <c r="L51" s="101" t="s">
        <v>17</v>
      </c>
      <c r="M51" s="97"/>
    </row>
    <row r="52" spans="1:13">
      <c r="A52" s="97">
        <v>51</v>
      </c>
      <c r="B52" s="98" t="s">
        <v>405</v>
      </c>
      <c r="C52" s="97" t="s">
        <v>298</v>
      </c>
      <c r="D52" s="96" t="s">
        <v>406</v>
      </c>
      <c r="E52" s="96" t="s">
        <v>407</v>
      </c>
      <c r="F52" s="96" t="s">
        <v>407</v>
      </c>
      <c r="G52" s="100">
        <v>6637657</v>
      </c>
      <c r="H52" s="101">
        <v>2241227.54</v>
      </c>
      <c r="I52" s="101"/>
      <c r="J52" s="102"/>
      <c r="K52" s="101" t="s">
        <v>17</v>
      </c>
      <c r="L52" s="101" t="s">
        <v>17</v>
      </c>
      <c r="M52" s="97"/>
    </row>
    <row r="53" spans="1:13">
      <c r="A53" s="97">
        <v>52</v>
      </c>
      <c r="B53" s="98" t="s">
        <v>405</v>
      </c>
      <c r="C53" s="97" t="s">
        <v>298</v>
      </c>
      <c r="D53" s="96" t="s">
        <v>408</v>
      </c>
      <c r="E53" s="96" t="s">
        <v>409</v>
      </c>
      <c r="F53" s="96" t="s">
        <v>409</v>
      </c>
      <c r="G53" s="100">
        <v>6153193</v>
      </c>
      <c r="H53" s="101">
        <v>9058670</v>
      </c>
      <c r="I53" s="101"/>
      <c r="J53" s="102">
        <v>11299897.539999999</v>
      </c>
      <c r="K53" s="101" t="s">
        <v>17</v>
      </c>
      <c r="L53" s="101" t="s">
        <v>17</v>
      </c>
      <c r="M53" s="97"/>
    </row>
    <row r="54" spans="1:13">
      <c r="A54" s="97">
        <v>53</v>
      </c>
      <c r="B54" s="98" t="s">
        <v>410</v>
      </c>
      <c r="C54" s="97" t="s">
        <v>298</v>
      </c>
      <c r="D54" s="107" t="s">
        <v>411</v>
      </c>
      <c r="E54" s="96" t="s">
        <v>363</v>
      </c>
      <c r="F54" s="96" t="s">
        <v>363</v>
      </c>
      <c r="G54" s="100">
        <v>5615148</v>
      </c>
      <c r="H54" s="101">
        <v>9432035.0999999996</v>
      </c>
      <c r="I54" s="101"/>
      <c r="J54" s="102">
        <v>9432035.0999999996</v>
      </c>
      <c r="K54" s="101" t="s">
        <v>17</v>
      </c>
      <c r="L54" s="101" t="s">
        <v>17</v>
      </c>
      <c r="M54" s="97"/>
    </row>
    <row r="55" spans="1:13">
      <c r="A55" s="97">
        <v>54</v>
      </c>
      <c r="B55" s="98" t="s">
        <v>412</v>
      </c>
      <c r="C55" s="97" t="s">
        <v>298</v>
      </c>
      <c r="D55" s="96" t="s">
        <v>413</v>
      </c>
      <c r="E55" s="96" t="s">
        <v>414</v>
      </c>
      <c r="F55" s="96" t="s">
        <v>414</v>
      </c>
      <c r="G55" s="100">
        <v>1489100</v>
      </c>
      <c r="H55" s="101">
        <v>1240001</v>
      </c>
      <c r="I55" s="101"/>
      <c r="J55" s="102"/>
      <c r="K55" s="101" t="s">
        <v>17</v>
      </c>
      <c r="L55" s="101" t="s">
        <v>17</v>
      </c>
      <c r="M55" s="97"/>
    </row>
    <row r="56" spans="1:13">
      <c r="A56" s="97">
        <v>55</v>
      </c>
      <c r="B56" s="98" t="s">
        <v>412</v>
      </c>
      <c r="C56" s="97" t="s">
        <v>298</v>
      </c>
      <c r="D56" s="99" t="s">
        <v>415</v>
      </c>
      <c r="E56" s="99" t="s">
        <v>416</v>
      </c>
      <c r="F56" s="99" t="s">
        <v>416</v>
      </c>
      <c r="G56" s="100">
        <v>565075</v>
      </c>
      <c r="H56" s="101">
        <v>575000</v>
      </c>
      <c r="I56" s="101"/>
      <c r="J56" s="102"/>
      <c r="K56" s="101" t="s">
        <v>17</v>
      </c>
      <c r="L56" s="101" t="s">
        <v>17</v>
      </c>
      <c r="M56" s="97"/>
    </row>
    <row r="57" spans="1:13">
      <c r="A57" s="97">
        <v>56</v>
      </c>
      <c r="B57" s="98" t="s">
        <v>412</v>
      </c>
      <c r="C57" s="97" t="s">
        <v>298</v>
      </c>
      <c r="D57" s="96" t="s">
        <v>417</v>
      </c>
      <c r="E57" s="96" t="s">
        <v>418</v>
      </c>
      <c r="F57" s="96" t="s">
        <v>418</v>
      </c>
      <c r="G57" s="100">
        <v>2155728</v>
      </c>
      <c r="H57" s="101">
        <v>2200000</v>
      </c>
      <c r="I57" s="101"/>
      <c r="J57" s="102"/>
      <c r="K57" s="101" t="s">
        <v>17</v>
      </c>
      <c r="L57" s="101" t="s">
        <v>17</v>
      </c>
      <c r="M57" s="97"/>
    </row>
    <row r="58" spans="1:13">
      <c r="A58" s="97">
        <v>57</v>
      </c>
      <c r="B58" s="98" t="s">
        <v>412</v>
      </c>
      <c r="C58" s="97" t="s">
        <v>298</v>
      </c>
      <c r="D58" s="96" t="s">
        <v>419</v>
      </c>
      <c r="E58" s="106">
        <v>38515</v>
      </c>
      <c r="F58" s="106">
        <v>38515</v>
      </c>
      <c r="G58" s="100">
        <v>1931233</v>
      </c>
      <c r="H58" s="101">
        <v>1969000</v>
      </c>
      <c r="I58" s="101"/>
      <c r="J58" s="102"/>
      <c r="K58" s="101" t="s">
        <v>17</v>
      </c>
      <c r="L58" s="101" t="s">
        <v>17</v>
      </c>
      <c r="M58" s="97"/>
    </row>
    <row r="59" spans="1:13">
      <c r="A59" s="97">
        <v>58</v>
      </c>
      <c r="B59" s="98" t="s">
        <v>412</v>
      </c>
      <c r="C59" s="97" t="s">
        <v>298</v>
      </c>
      <c r="D59" s="96" t="s">
        <v>420</v>
      </c>
      <c r="E59" s="106">
        <v>38545</v>
      </c>
      <c r="F59" s="106">
        <v>38545</v>
      </c>
      <c r="G59" s="100">
        <v>3052586</v>
      </c>
      <c r="H59" s="101">
        <v>3100000</v>
      </c>
      <c r="I59" s="101"/>
      <c r="J59" s="102"/>
      <c r="K59" s="101" t="s">
        <v>17</v>
      </c>
      <c r="L59" s="101" t="s">
        <v>17</v>
      </c>
      <c r="M59" s="97"/>
    </row>
    <row r="60" spans="1:13">
      <c r="A60" s="97">
        <v>59</v>
      </c>
      <c r="B60" s="98" t="s">
        <v>412</v>
      </c>
      <c r="C60" s="97" t="s">
        <v>298</v>
      </c>
      <c r="D60" s="96" t="s">
        <v>421</v>
      </c>
      <c r="E60" s="96" t="s">
        <v>422</v>
      </c>
      <c r="F60" s="96" t="s">
        <v>422</v>
      </c>
      <c r="G60" s="100">
        <v>1324608.8500000001</v>
      </c>
      <c r="H60" s="101">
        <v>1200000.8500000001</v>
      </c>
      <c r="I60" s="101"/>
      <c r="J60" s="102">
        <v>10284001.85</v>
      </c>
      <c r="K60" s="101" t="s">
        <v>17</v>
      </c>
      <c r="L60" s="101" t="s">
        <v>17</v>
      </c>
      <c r="M60" s="97"/>
    </row>
    <row r="61" spans="1:13">
      <c r="A61" s="97">
        <v>60</v>
      </c>
      <c r="B61" s="98" t="s">
        <v>423</v>
      </c>
      <c r="C61" s="97" t="s">
        <v>298</v>
      </c>
      <c r="D61" s="96" t="s">
        <v>424</v>
      </c>
      <c r="E61" s="96" t="s">
        <v>425</v>
      </c>
      <c r="F61" s="96" t="s">
        <v>425</v>
      </c>
      <c r="G61" s="100">
        <v>7904250</v>
      </c>
      <c r="H61" s="101">
        <v>12398569</v>
      </c>
      <c r="I61" s="101"/>
      <c r="J61" s="102"/>
      <c r="K61" s="101" t="s">
        <v>17</v>
      </c>
      <c r="L61" s="101" t="s">
        <v>17</v>
      </c>
      <c r="M61" s="97"/>
    </row>
    <row r="62" spans="1:13">
      <c r="A62" s="97">
        <v>61</v>
      </c>
      <c r="B62" s="98" t="s">
        <v>423</v>
      </c>
      <c r="C62" s="97" t="s">
        <v>298</v>
      </c>
      <c r="D62" s="96" t="s">
        <v>426</v>
      </c>
      <c r="E62" s="96" t="s">
        <v>425</v>
      </c>
      <c r="F62" s="96" t="s">
        <v>425</v>
      </c>
      <c r="G62" s="100">
        <v>5929007</v>
      </c>
      <c r="H62" s="101">
        <v>-778710.81000000052</v>
      </c>
      <c r="I62" s="101"/>
      <c r="J62" s="102"/>
      <c r="K62" s="101" t="s">
        <v>17</v>
      </c>
      <c r="L62" s="101" t="s">
        <v>17</v>
      </c>
      <c r="M62" s="97"/>
    </row>
    <row r="63" spans="1:13">
      <c r="A63" s="97">
        <v>62</v>
      </c>
      <c r="B63" s="98" t="s">
        <v>423</v>
      </c>
      <c r="C63" s="97" t="s">
        <v>298</v>
      </c>
      <c r="D63" s="99" t="s">
        <v>427</v>
      </c>
      <c r="E63" s="96" t="s">
        <v>428</v>
      </c>
      <c r="F63" s="96" t="s">
        <v>428</v>
      </c>
      <c r="G63" s="100">
        <v>4025313</v>
      </c>
      <c r="H63" s="101">
        <v>4608952</v>
      </c>
      <c r="I63" s="101"/>
      <c r="J63" s="102"/>
      <c r="K63" s="101" t="s">
        <v>17</v>
      </c>
      <c r="L63" s="101" t="s">
        <v>17</v>
      </c>
      <c r="M63" s="97"/>
    </row>
    <row r="64" spans="1:13">
      <c r="A64" s="97">
        <v>63</v>
      </c>
      <c r="B64" s="98" t="s">
        <v>423</v>
      </c>
      <c r="C64" s="97" t="s">
        <v>298</v>
      </c>
      <c r="D64" s="96" t="s">
        <v>429</v>
      </c>
      <c r="E64" s="96" t="s">
        <v>360</v>
      </c>
      <c r="F64" s="96" t="s">
        <v>360</v>
      </c>
      <c r="G64" s="100">
        <v>5818709</v>
      </c>
      <c r="H64" s="101">
        <v>-16228810.189999999</v>
      </c>
      <c r="I64" s="101"/>
      <c r="J64" s="102">
        <v>0</v>
      </c>
      <c r="K64" s="101" t="s">
        <v>17</v>
      </c>
      <c r="L64" s="101" t="s">
        <v>17</v>
      </c>
      <c r="M64" s="97"/>
    </row>
    <row r="65" spans="1:13">
      <c r="A65" s="97">
        <v>64</v>
      </c>
      <c r="B65" s="98" t="s">
        <v>430</v>
      </c>
      <c r="C65" s="97" t="s">
        <v>298</v>
      </c>
      <c r="D65" s="96" t="s">
        <v>431</v>
      </c>
      <c r="E65" s="96" t="s">
        <v>360</v>
      </c>
      <c r="F65" s="96" t="s">
        <v>360</v>
      </c>
      <c r="G65" s="100">
        <v>1984347</v>
      </c>
      <c r="H65" s="101">
        <v>1814213</v>
      </c>
      <c r="I65" s="101"/>
      <c r="J65" s="102">
        <v>1814213</v>
      </c>
      <c r="K65" s="101" t="s">
        <v>17</v>
      </c>
      <c r="L65" s="101" t="s">
        <v>17</v>
      </c>
      <c r="M65" s="97"/>
    </row>
    <row r="66" spans="1:13">
      <c r="A66" s="97">
        <v>65</v>
      </c>
      <c r="B66" s="98" t="s">
        <v>432</v>
      </c>
      <c r="C66" s="97" t="s">
        <v>298</v>
      </c>
      <c r="D66" s="105" t="s">
        <v>433</v>
      </c>
      <c r="E66" s="96" t="s">
        <v>434</v>
      </c>
      <c r="F66" s="96" t="s">
        <v>434</v>
      </c>
      <c r="G66" s="100">
        <v>1648359</v>
      </c>
      <c r="H66" s="101">
        <v>437227.69</v>
      </c>
      <c r="I66" s="101"/>
      <c r="J66" s="102"/>
      <c r="K66" s="101" t="s">
        <v>17</v>
      </c>
      <c r="L66" s="101" t="s">
        <v>17</v>
      </c>
      <c r="M66" s="97"/>
    </row>
    <row r="67" spans="1:13">
      <c r="A67" s="97">
        <v>66</v>
      </c>
      <c r="B67" s="98" t="s">
        <v>432</v>
      </c>
      <c r="C67" s="97" t="s">
        <v>298</v>
      </c>
      <c r="D67" s="96" t="s">
        <v>435</v>
      </c>
      <c r="E67" s="106">
        <v>35470</v>
      </c>
      <c r="F67" s="106">
        <v>35470</v>
      </c>
      <c r="G67" s="100">
        <v>3053849</v>
      </c>
      <c r="H67" s="101">
        <v>2523687.87</v>
      </c>
      <c r="I67" s="101"/>
      <c r="J67" s="102"/>
      <c r="K67" s="101" t="s">
        <v>17</v>
      </c>
      <c r="L67" s="101" t="s">
        <v>17</v>
      </c>
      <c r="M67" s="97"/>
    </row>
    <row r="68" spans="1:13">
      <c r="A68" s="97">
        <v>67</v>
      </c>
      <c r="B68" s="98" t="s">
        <v>432</v>
      </c>
      <c r="C68" s="97" t="s">
        <v>298</v>
      </c>
      <c r="D68" s="105" t="s">
        <v>436</v>
      </c>
      <c r="E68" s="96" t="s">
        <v>437</v>
      </c>
      <c r="F68" s="96" t="s">
        <v>437</v>
      </c>
      <c r="G68" s="100">
        <v>490715</v>
      </c>
      <c r="H68" s="101">
        <v>542420</v>
      </c>
      <c r="I68" s="101"/>
      <c r="J68" s="102"/>
      <c r="K68" s="101" t="s">
        <v>17</v>
      </c>
      <c r="L68" s="101" t="s">
        <v>17</v>
      </c>
      <c r="M68" s="97"/>
    </row>
    <row r="69" spans="1:13">
      <c r="A69" s="97">
        <v>68</v>
      </c>
      <c r="B69" s="98" t="s">
        <v>432</v>
      </c>
      <c r="C69" s="97" t="s">
        <v>298</v>
      </c>
      <c r="D69" s="99" t="s">
        <v>438</v>
      </c>
      <c r="E69" s="96" t="s">
        <v>439</v>
      </c>
      <c r="F69" s="96" t="s">
        <v>439</v>
      </c>
      <c r="G69" s="100">
        <v>883407</v>
      </c>
      <c r="H69" s="101">
        <v>978038</v>
      </c>
      <c r="I69" s="101"/>
      <c r="J69" s="102">
        <v>4481373.5600000005</v>
      </c>
      <c r="K69" s="101" t="s">
        <v>17</v>
      </c>
      <c r="L69" s="101" t="s">
        <v>17</v>
      </c>
      <c r="M69" s="97"/>
    </row>
    <row r="70" spans="1:13">
      <c r="A70" s="97">
        <v>69</v>
      </c>
      <c r="B70" s="98" t="s">
        <v>440</v>
      </c>
      <c r="C70" s="97" t="s">
        <v>298</v>
      </c>
      <c r="D70" s="106" t="s">
        <v>441</v>
      </c>
      <c r="E70" s="106">
        <v>38331</v>
      </c>
      <c r="F70" s="106">
        <v>38331</v>
      </c>
      <c r="G70" s="100">
        <v>65281.89</v>
      </c>
      <c r="H70" s="101">
        <v>133663</v>
      </c>
      <c r="I70" s="101"/>
      <c r="J70" s="102">
        <v>133663</v>
      </c>
      <c r="K70" s="101" t="s">
        <v>17</v>
      </c>
      <c r="L70" s="101" t="s">
        <v>17</v>
      </c>
      <c r="M70" s="97"/>
    </row>
    <row r="71" spans="1:13">
      <c r="A71" s="97">
        <v>70</v>
      </c>
      <c r="B71" s="98" t="s">
        <v>442</v>
      </c>
      <c r="C71" s="97" t="s">
        <v>298</v>
      </c>
      <c r="D71" s="96" t="s">
        <v>443</v>
      </c>
      <c r="E71" s="106">
        <v>39790</v>
      </c>
      <c r="F71" s="106">
        <v>39790</v>
      </c>
      <c r="G71" s="100">
        <v>1702360</v>
      </c>
      <c r="H71" s="101">
        <v>600582.25</v>
      </c>
      <c r="I71" s="101"/>
      <c r="J71" s="102"/>
      <c r="K71" s="101" t="s">
        <v>17</v>
      </c>
      <c r="L71" s="101" t="s">
        <v>17</v>
      </c>
      <c r="M71" s="97"/>
    </row>
    <row r="72" spans="1:13">
      <c r="A72" s="97">
        <v>71</v>
      </c>
      <c r="B72" s="98" t="s">
        <v>442</v>
      </c>
      <c r="C72" s="97" t="s">
        <v>298</v>
      </c>
      <c r="D72" s="96" t="s">
        <v>444</v>
      </c>
      <c r="E72" s="106">
        <v>39790</v>
      </c>
      <c r="F72" s="106">
        <v>39790</v>
      </c>
      <c r="G72" s="100">
        <v>7359350</v>
      </c>
      <c r="H72" s="101">
        <v>11879364</v>
      </c>
      <c r="I72" s="101"/>
      <c r="J72" s="102"/>
      <c r="K72" s="101" t="s">
        <v>17</v>
      </c>
      <c r="L72" s="101" t="s">
        <v>17</v>
      </c>
      <c r="M72" s="97"/>
    </row>
    <row r="73" spans="1:13">
      <c r="A73" s="97">
        <v>72</v>
      </c>
      <c r="B73" s="98" t="s">
        <v>445</v>
      </c>
      <c r="C73" s="97" t="s">
        <v>298</v>
      </c>
      <c r="D73" s="96" t="s">
        <v>446</v>
      </c>
      <c r="E73" s="106">
        <v>39790</v>
      </c>
      <c r="F73" s="106">
        <v>39790</v>
      </c>
      <c r="G73" s="100">
        <v>2828513</v>
      </c>
      <c r="H73" s="101">
        <v>4554506</v>
      </c>
      <c r="I73" s="101"/>
      <c r="J73" s="102"/>
      <c r="K73" s="101" t="s">
        <v>17</v>
      </c>
      <c r="L73" s="101" t="s">
        <v>17</v>
      </c>
      <c r="M73" s="97"/>
    </row>
    <row r="74" spans="1:13">
      <c r="A74" s="97">
        <v>73</v>
      </c>
      <c r="B74" s="98" t="s">
        <v>445</v>
      </c>
      <c r="C74" s="97" t="s">
        <v>298</v>
      </c>
      <c r="D74" s="96" t="s">
        <v>447</v>
      </c>
      <c r="E74" s="106">
        <v>39790</v>
      </c>
      <c r="F74" s="106">
        <v>39790</v>
      </c>
      <c r="G74" s="100">
        <v>4320376</v>
      </c>
      <c r="H74" s="101">
        <v>6956783</v>
      </c>
      <c r="I74" s="101"/>
      <c r="J74" s="102">
        <v>23991235.25</v>
      </c>
      <c r="K74" s="101" t="s">
        <v>17</v>
      </c>
      <c r="L74" s="101" t="s">
        <v>17</v>
      </c>
      <c r="M74" s="97"/>
    </row>
    <row r="75" spans="1:13">
      <c r="A75" s="97">
        <v>74</v>
      </c>
      <c r="B75" s="98" t="s">
        <v>448</v>
      </c>
      <c r="C75" s="97" t="s">
        <v>298</v>
      </c>
      <c r="D75" s="96" t="s">
        <v>449</v>
      </c>
      <c r="E75" s="106">
        <v>39337</v>
      </c>
      <c r="F75" s="106">
        <v>39337</v>
      </c>
      <c r="G75" s="100">
        <v>10278540</v>
      </c>
      <c r="H75" s="101">
        <v>34879562</v>
      </c>
      <c r="I75" s="101"/>
      <c r="J75" s="102"/>
      <c r="K75" s="101" t="s">
        <v>17</v>
      </c>
      <c r="L75" s="101" t="s">
        <v>17</v>
      </c>
      <c r="M75" s="97"/>
    </row>
    <row r="76" spans="1:13">
      <c r="A76" s="97">
        <v>75</v>
      </c>
      <c r="B76" s="98" t="s">
        <v>448</v>
      </c>
      <c r="C76" s="97" t="s">
        <v>298</v>
      </c>
      <c r="D76" s="96" t="s">
        <v>450</v>
      </c>
      <c r="E76" s="106">
        <v>41032</v>
      </c>
      <c r="F76" s="106">
        <v>41032</v>
      </c>
      <c r="G76" s="100">
        <v>7138734</v>
      </c>
      <c r="H76" s="101">
        <v>13490900</v>
      </c>
      <c r="I76" s="101"/>
      <c r="J76" s="102"/>
      <c r="K76" s="101" t="s">
        <v>17</v>
      </c>
      <c r="L76" s="101" t="s">
        <v>17</v>
      </c>
      <c r="M76" s="97"/>
    </row>
    <row r="77" spans="1:13">
      <c r="A77" s="97">
        <v>76</v>
      </c>
      <c r="B77" s="98" t="s">
        <v>448</v>
      </c>
      <c r="C77" s="97" t="s">
        <v>298</v>
      </c>
      <c r="D77" s="96" t="s">
        <v>451</v>
      </c>
      <c r="E77" s="106">
        <v>41198</v>
      </c>
      <c r="F77" s="106">
        <v>41198</v>
      </c>
      <c r="G77" s="100">
        <v>7489618</v>
      </c>
      <c r="H77" s="101">
        <v>13707072</v>
      </c>
      <c r="I77" s="101"/>
      <c r="J77" s="102">
        <v>62077534</v>
      </c>
      <c r="K77" s="101" t="s">
        <v>17</v>
      </c>
      <c r="L77" s="101" t="s">
        <v>17</v>
      </c>
      <c r="M77" s="97" t="s">
        <v>454</v>
      </c>
    </row>
    <row r="78" spans="1:13">
      <c r="A78" s="97">
        <v>77</v>
      </c>
      <c r="B78" s="98" t="s">
        <v>452</v>
      </c>
      <c r="C78" s="97" t="s">
        <v>298</v>
      </c>
      <c r="D78" s="96" t="s">
        <v>453</v>
      </c>
      <c r="E78" s="106">
        <v>41231</v>
      </c>
      <c r="F78" s="106">
        <v>41231</v>
      </c>
      <c r="G78" s="100">
        <v>16009161.85</v>
      </c>
      <c r="H78" s="101">
        <v>31376995</v>
      </c>
      <c r="I78" s="101"/>
      <c r="J78" s="102">
        <v>31376995</v>
      </c>
      <c r="K78" s="101" t="s">
        <v>17</v>
      </c>
      <c r="L78" s="101" t="s">
        <v>17</v>
      </c>
      <c r="M78" s="97"/>
    </row>
    <row r="79" spans="1:13">
      <c r="A79" s="97">
        <v>78</v>
      </c>
      <c r="B79" s="98" t="s">
        <v>455</v>
      </c>
      <c r="C79" s="97" t="s">
        <v>298</v>
      </c>
      <c r="D79" s="96" t="s">
        <v>456</v>
      </c>
      <c r="E79" s="106">
        <v>40889</v>
      </c>
      <c r="F79" s="106">
        <v>40889</v>
      </c>
      <c r="G79" s="100">
        <v>3394455</v>
      </c>
      <c r="H79" s="101">
        <v>4275702</v>
      </c>
      <c r="I79" s="101"/>
      <c r="J79" s="102"/>
      <c r="K79" s="101" t="s">
        <v>17</v>
      </c>
      <c r="L79" s="101" t="s">
        <v>17</v>
      </c>
      <c r="M79" s="97"/>
    </row>
    <row r="80" spans="1:13">
      <c r="A80" s="97">
        <v>79</v>
      </c>
      <c r="B80" s="98" t="s">
        <v>455</v>
      </c>
      <c r="C80" s="97" t="s">
        <v>298</v>
      </c>
      <c r="D80" s="96" t="s">
        <v>457</v>
      </c>
      <c r="E80" s="106">
        <v>41085</v>
      </c>
      <c r="F80" s="106">
        <v>41085</v>
      </c>
      <c r="G80" s="100">
        <v>3407220</v>
      </c>
      <c r="H80" s="101">
        <v>6326787</v>
      </c>
      <c r="I80" s="101"/>
      <c r="J80" s="102">
        <v>10602489</v>
      </c>
      <c r="K80" s="101" t="s">
        <v>17</v>
      </c>
      <c r="L80" s="101" t="s">
        <v>17</v>
      </c>
      <c r="M80" s="97"/>
    </row>
    <row r="81" spans="1:13">
      <c r="A81" s="97">
        <v>80</v>
      </c>
      <c r="B81" s="98" t="s">
        <v>458</v>
      </c>
      <c r="C81" s="97" t="s">
        <v>298</v>
      </c>
      <c r="D81" s="107" t="s">
        <v>459</v>
      </c>
      <c r="E81" s="106" t="s">
        <v>460</v>
      </c>
      <c r="F81" s="106" t="s">
        <v>460</v>
      </c>
      <c r="G81" s="100">
        <v>28474693.32</v>
      </c>
      <c r="H81" s="101">
        <v>68249430.019999996</v>
      </c>
      <c r="I81" s="101"/>
      <c r="J81" s="102">
        <v>68249430.019999996</v>
      </c>
      <c r="K81" s="101" t="s">
        <v>17</v>
      </c>
      <c r="L81" s="101" t="s">
        <v>17</v>
      </c>
      <c r="M81" s="97"/>
    </row>
    <row r="82" spans="1:13">
      <c r="A82" s="97">
        <v>81</v>
      </c>
      <c r="B82" s="98" t="s">
        <v>461</v>
      </c>
      <c r="C82" s="97" t="s">
        <v>298</v>
      </c>
      <c r="D82" s="96" t="s">
        <v>462</v>
      </c>
      <c r="E82" s="96" t="s">
        <v>463</v>
      </c>
      <c r="F82" s="96" t="s">
        <v>463</v>
      </c>
      <c r="G82" s="100">
        <v>4187202</v>
      </c>
      <c r="H82" s="101">
        <v>11626692</v>
      </c>
      <c r="I82" s="101"/>
      <c r="J82" s="102"/>
      <c r="K82" s="101" t="s">
        <v>17</v>
      </c>
      <c r="L82" s="101" t="s">
        <v>17</v>
      </c>
      <c r="M82" s="97"/>
    </row>
    <row r="83" spans="1:13">
      <c r="A83" s="97">
        <v>82</v>
      </c>
      <c r="B83" s="98" t="s">
        <v>461</v>
      </c>
      <c r="C83" s="97" t="s">
        <v>298</v>
      </c>
      <c r="D83" s="96" t="s">
        <v>464</v>
      </c>
      <c r="E83" s="96" t="s">
        <v>465</v>
      </c>
      <c r="F83" s="96" t="s">
        <v>465</v>
      </c>
      <c r="G83" s="100">
        <v>517521</v>
      </c>
      <c r="H83" s="101">
        <v>1170430</v>
      </c>
      <c r="I83" s="101"/>
      <c r="J83" s="102"/>
      <c r="K83" s="101" t="s">
        <v>17</v>
      </c>
      <c r="L83" s="101" t="s">
        <v>17</v>
      </c>
      <c r="M83" s="97"/>
    </row>
    <row r="84" spans="1:13">
      <c r="A84" s="97">
        <v>83</v>
      </c>
      <c r="B84" s="98" t="s">
        <v>461</v>
      </c>
      <c r="C84" s="97" t="s">
        <v>298</v>
      </c>
      <c r="D84" s="96" t="s">
        <v>466</v>
      </c>
      <c r="E84" s="96" t="s">
        <v>467</v>
      </c>
      <c r="F84" s="96" t="s">
        <v>467</v>
      </c>
      <c r="G84" s="100">
        <v>2582760</v>
      </c>
      <c r="H84" s="101">
        <v>6258611.8799999999</v>
      </c>
      <c r="I84" s="101"/>
      <c r="J84" s="102">
        <v>19055733.879999999</v>
      </c>
      <c r="K84" s="101" t="s">
        <v>17</v>
      </c>
      <c r="L84" s="101" t="s">
        <v>17</v>
      </c>
      <c r="M84" s="97"/>
    </row>
    <row r="85" spans="1:13">
      <c r="A85" s="97">
        <v>84</v>
      </c>
      <c r="B85" s="98" t="s">
        <v>468</v>
      </c>
      <c r="C85" s="97" t="s">
        <v>298</v>
      </c>
      <c r="D85" s="108" t="s">
        <v>469</v>
      </c>
      <c r="E85" s="106">
        <v>40833</v>
      </c>
      <c r="F85" s="106">
        <v>40833</v>
      </c>
      <c r="G85" s="100">
        <v>23214200</v>
      </c>
      <c r="H85" s="101">
        <v>44279422</v>
      </c>
      <c r="I85" s="101"/>
      <c r="J85" s="102"/>
      <c r="K85" s="101" t="s">
        <v>17</v>
      </c>
      <c r="L85" s="101" t="s">
        <v>17</v>
      </c>
      <c r="M85" s="97"/>
    </row>
    <row r="86" spans="1:13">
      <c r="A86" s="97">
        <v>85</v>
      </c>
      <c r="B86" s="98" t="s">
        <v>468</v>
      </c>
      <c r="C86" s="97" t="s">
        <v>298</v>
      </c>
      <c r="D86" s="108" t="s">
        <v>470</v>
      </c>
      <c r="E86" s="106">
        <v>40911</v>
      </c>
      <c r="F86" s="106">
        <v>40911</v>
      </c>
      <c r="G86" s="100">
        <v>19653350</v>
      </c>
      <c r="H86" s="101">
        <v>32088849</v>
      </c>
      <c r="I86" s="101"/>
      <c r="J86" s="102"/>
      <c r="K86" s="101" t="s">
        <v>17</v>
      </c>
      <c r="L86" s="101" t="s">
        <v>17</v>
      </c>
      <c r="M86" s="97"/>
    </row>
    <row r="87" spans="1:13">
      <c r="A87" s="97">
        <v>86</v>
      </c>
      <c r="B87" s="98" t="s">
        <v>468</v>
      </c>
      <c r="C87" s="97" t="s">
        <v>298</v>
      </c>
      <c r="D87" s="108" t="s">
        <v>471</v>
      </c>
      <c r="E87" s="106">
        <v>40940</v>
      </c>
      <c r="F87" s="106">
        <v>40940</v>
      </c>
      <c r="G87" s="100">
        <v>5243565</v>
      </c>
      <c r="H87" s="101">
        <v>9622404</v>
      </c>
      <c r="I87" s="101"/>
      <c r="J87" s="102">
        <v>85990675</v>
      </c>
      <c r="K87" s="101" t="s">
        <v>17</v>
      </c>
      <c r="L87" s="101" t="s">
        <v>17</v>
      </c>
      <c r="M87" s="97" t="s">
        <v>474</v>
      </c>
    </row>
    <row r="88" spans="1:13">
      <c r="A88" s="97">
        <v>87</v>
      </c>
      <c r="B88" s="98" t="s">
        <v>472</v>
      </c>
      <c r="C88" s="97" t="s">
        <v>298</v>
      </c>
      <c r="D88" s="108" t="s">
        <v>473</v>
      </c>
      <c r="E88" s="106">
        <v>41392</v>
      </c>
      <c r="F88" s="106">
        <v>41392</v>
      </c>
      <c r="G88" s="100">
        <v>5852686.8399999999</v>
      </c>
      <c r="H88" s="101">
        <v>3649711</v>
      </c>
      <c r="I88" s="101"/>
      <c r="J88" s="102"/>
      <c r="K88" s="101" t="s">
        <v>17</v>
      </c>
      <c r="L88" s="101" t="s">
        <v>17</v>
      </c>
      <c r="M88" s="97" t="s">
        <v>476</v>
      </c>
    </row>
    <row r="89" spans="1:13">
      <c r="A89" s="97">
        <v>88</v>
      </c>
      <c r="B89" s="98" t="s">
        <v>472</v>
      </c>
      <c r="C89" s="97" t="s">
        <v>298</v>
      </c>
      <c r="D89" s="108" t="s">
        <v>475</v>
      </c>
      <c r="E89" s="106">
        <v>41721</v>
      </c>
      <c r="F89" s="106">
        <v>41721</v>
      </c>
      <c r="G89" s="100">
        <v>4058358.41</v>
      </c>
      <c r="H89" s="101">
        <v>882090</v>
      </c>
      <c r="I89" s="101"/>
      <c r="J89" s="102">
        <v>4531801</v>
      </c>
      <c r="K89" s="101" t="s">
        <v>17</v>
      </c>
      <c r="L89" s="101" t="s">
        <v>17</v>
      </c>
      <c r="M89" s="97"/>
    </row>
    <row r="90" spans="1:13">
      <c r="A90" s="97">
        <v>89</v>
      </c>
      <c r="B90" s="98" t="s">
        <v>477</v>
      </c>
      <c r="C90" s="97" t="s">
        <v>298</v>
      </c>
      <c r="D90" s="108" t="s">
        <v>478</v>
      </c>
      <c r="E90" s="106">
        <v>41991</v>
      </c>
      <c r="F90" s="106">
        <v>41991</v>
      </c>
      <c r="G90" s="100">
        <v>7852140</v>
      </c>
      <c r="H90" s="101">
        <v>9924532</v>
      </c>
      <c r="I90" s="101"/>
      <c r="J90" s="102"/>
      <c r="K90" s="101" t="s">
        <v>17</v>
      </c>
      <c r="L90" s="101" t="s">
        <v>17</v>
      </c>
      <c r="M90" s="97"/>
    </row>
    <row r="91" spans="1:13">
      <c r="A91" s="97">
        <v>90</v>
      </c>
      <c r="B91" s="98" t="s">
        <v>477</v>
      </c>
      <c r="C91" s="97" t="s">
        <v>298</v>
      </c>
      <c r="D91" s="108" t="s">
        <v>479</v>
      </c>
      <c r="E91" s="106">
        <v>42106</v>
      </c>
      <c r="F91" s="106">
        <v>42106</v>
      </c>
      <c r="G91" s="100">
        <v>981776</v>
      </c>
      <c r="H91" s="101">
        <v>1194042</v>
      </c>
      <c r="I91" s="101"/>
      <c r="J91" s="102">
        <v>11118574</v>
      </c>
      <c r="K91" s="101" t="s">
        <v>17</v>
      </c>
      <c r="L91" s="101" t="s">
        <v>17</v>
      </c>
      <c r="M91" s="97"/>
    </row>
    <row r="92" spans="1:13">
      <c r="A92" s="97">
        <v>91</v>
      </c>
      <c r="B92" s="98" t="s">
        <v>480</v>
      </c>
      <c r="C92" s="97" t="s">
        <v>298</v>
      </c>
      <c r="D92" s="108" t="s">
        <v>481</v>
      </c>
      <c r="E92" s="106">
        <v>42100</v>
      </c>
      <c r="F92" s="106">
        <v>42100</v>
      </c>
      <c r="G92" s="100">
        <v>15407747.030000001</v>
      </c>
      <c r="H92" s="101">
        <v>16439510.630000001</v>
      </c>
      <c r="I92" s="101"/>
      <c r="J92" s="102">
        <v>16439510.630000001</v>
      </c>
      <c r="K92" s="101" t="s">
        <v>17</v>
      </c>
      <c r="L92" s="101" t="s">
        <v>17</v>
      </c>
      <c r="M92" s="109" t="s">
        <v>482</v>
      </c>
    </row>
    <row r="93" spans="1:13" ht="15.75">
      <c r="A93" s="97">
        <v>92</v>
      </c>
      <c r="B93" s="110"/>
      <c r="C93" s="97" t="s">
        <v>298</v>
      </c>
      <c r="D93" s="110"/>
      <c r="E93" s="110"/>
      <c r="F93" s="110"/>
      <c r="H93" s="110"/>
      <c r="I93" s="110"/>
      <c r="J93" s="110"/>
      <c r="K93" s="110"/>
      <c r="L93" s="110"/>
      <c r="M93" s="111" t="s">
        <v>49</v>
      </c>
    </row>
    <row r="94" spans="1:13" ht="15.75">
      <c r="A94" s="97">
        <v>93</v>
      </c>
      <c r="B94" s="98" t="s">
        <v>44</v>
      </c>
      <c r="C94" s="97" t="s">
        <v>298</v>
      </c>
      <c r="D94" s="112" t="s">
        <v>46</v>
      </c>
      <c r="E94" s="113">
        <v>43240</v>
      </c>
      <c r="F94" s="113">
        <v>43240</v>
      </c>
      <c r="G94" s="100">
        <v>23744881</v>
      </c>
      <c r="H94" s="114">
        <v>16540283.58</v>
      </c>
      <c r="I94" s="114"/>
      <c r="J94" s="115"/>
      <c r="K94" s="114" t="s">
        <v>47</v>
      </c>
      <c r="L94" s="114" t="s">
        <v>47</v>
      </c>
      <c r="M94" s="111" t="s">
        <v>484</v>
      </c>
    </row>
    <row r="95" spans="1:13" ht="15.75">
      <c r="A95" s="97">
        <v>94</v>
      </c>
      <c r="B95" s="98" t="s">
        <v>44</v>
      </c>
      <c r="C95" s="97" t="s">
        <v>298</v>
      </c>
      <c r="D95" s="116" t="s">
        <v>483</v>
      </c>
      <c r="E95" s="113">
        <v>43244</v>
      </c>
      <c r="F95" s="113">
        <v>43244</v>
      </c>
      <c r="G95" s="100">
        <v>2355119</v>
      </c>
      <c r="H95" s="114">
        <v>1656580</v>
      </c>
      <c r="I95" s="114"/>
      <c r="J95" s="115"/>
      <c r="K95" s="114" t="s">
        <v>47</v>
      </c>
      <c r="L95" s="114" t="s">
        <v>47</v>
      </c>
      <c r="M95" s="111" t="s">
        <v>486</v>
      </c>
    </row>
    <row r="96" spans="1:13">
      <c r="A96" s="97">
        <v>95</v>
      </c>
      <c r="B96" s="98" t="s">
        <v>50</v>
      </c>
      <c r="C96" s="97" t="s">
        <v>298</v>
      </c>
      <c r="D96" s="108" t="s">
        <v>485</v>
      </c>
      <c r="E96" s="106">
        <v>43346</v>
      </c>
      <c r="F96" s="106">
        <v>43346</v>
      </c>
      <c r="G96" s="100">
        <v>17755000</v>
      </c>
      <c r="H96" s="101">
        <v>0</v>
      </c>
      <c r="I96" s="101"/>
      <c r="J96" s="102">
        <v>18196863.579999998</v>
      </c>
      <c r="K96" s="117" t="s">
        <v>47</v>
      </c>
      <c r="L96" s="117" t="s">
        <v>47</v>
      </c>
      <c r="M96" s="109" t="s">
        <v>489</v>
      </c>
    </row>
    <row r="97" spans="1:13">
      <c r="A97" s="97">
        <v>96</v>
      </c>
      <c r="B97" s="110" t="s">
        <v>487</v>
      </c>
      <c r="C97" s="97" t="s">
        <v>298</v>
      </c>
      <c r="D97" s="118" t="s">
        <v>488</v>
      </c>
      <c r="E97" s="119">
        <v>43341</v>
      </c>
      <c r="F97" s="119">
        <v>43341</v>
      </c>
      <c r="G97" s="100">
        <v>38263496.5</v>
      </c>
      <c r="H97" s="120">
        <v>41255446</v>
      </c>
      <c r="I97" s="101"/>
      <c r="J97" s="121"/>
      <c r="K97" s="122" t="s">
        <v>53</v>
      </c>
      <c r="L97" s="122" t="s">
        <v>53</v>
      </c>
      <c r="M97" s="109" t="s">
        <v>491</v>
      </c>
    </row>
    <row r="98" spans="1:13">
      <c r="A98" s="97">
        <v>97</v>
      </c>
      <c r="B98" s="110" t="s">
        <v>487</v>
      </c>
      <c r="C98" s="97" t="s">
        <v>298</v>
      </c>
      <c r="D98" s="118" t="s">
        <v>490</v>
      </c>
      <c r="E98" s="119">
        <v>43444</v>
      </c>
      <c r="F98" s="119">
        <v>43444</v>
      </c>
      <c r="G98" s="100">
        <v>64832929.509999998</v>
      </c>
      <c r="H98" s="120">
        <v>65189511</v>
      </c>
      <c r="I98" s="120"/>
      <c r="J98" s="121"/>
      <c r="K98" s="122" t="s">
        <v>53</v>
      </c>
      <c r="L98" s="122" t="s">
        <v>53</v>
      </c>
      <c r="M98" s="97">
        <f>-185265-18823-325272-33802-125980-61911-178534-130627-433960-22761026-606868.59-7115016-361529-2030930-1245694-209437-586250</f>
        <v>-36410924.590000004</v>
      </c>
    </row>
    <row r="99" spans="1:13">
      <c r="A99" s="97">
        <v>98</v>
      </c>
      <c r="B99" s="98" t="s">
        <v>487</v>
      </c>
      <c r="C99" s="97" t="s">
        <v>298</v>
      </c>
      <c r="D99" s="123" t="s">
        <v>492</v>
      </c>
      <c r="E99" s="106">
        <v>43181</v>
      </c>
      <c r="F99" s="106">
        <v>43181</v>
      </c>
      <c r="G99" s="100">
        <v>50299448.130000003</v>
      </c>
      <c r="H99" s="101">
        <v>8043456.4100000001</v>
      </c>
      <c r="I99" s="101"/>
      <c r="J99" s="102">
        <v>114488413.41</v>
      </c>
      <c r="K99" s="114" t="s">
        <v>53</v>
      </c>
      <c r="L99" s="114" t="s">
        <v>53</v>
      </c>
      <c r="M99" s="97"/>
    </row>
    <row r="100" spans="1:13" ht="15.75">
      <c r="A100" s="97">
        <v>99</v>
      </c>
      <c r="B100" s="124" t="s">
        <v>493</v>
      </c>
      <c r="C100" s="97" t="s">
        <v>298</v>
      </c>
      <c r="D100" s="108" t="s">
        <v>494</v>
      </c>
      <c r="E100" s="106">
        <v>43454</v>
      </c>
      <c r="F100" s="106">
        <v>43454</v>
      </c>
      <c r="G100" s="100">
        <v>16160455.59</v>
      </c>
      <c r="H100" s="101">
        <v>0</v>
      </c>
      <c r="I100" s="101"/>
      <c r="J100" s="102">
        <v>0</v>
      </c>
      <c r="K100" s="117" t="s">
        <v>73</v>
      </c>
      <c r="L100" s="125" t="s">
        <v>127</v>
      </c>
      <c r="M100" s="111" t="s">
        <v>498</v>
      </c>
    </row>
    <row r="101" spans="1:13" ht="15.75">
      <c r="A101" s="97">
        <v>100</v>
      </c>
      <c r="B101" s="124" t="s">
        <v>495</v>
      </c>
      <c r="C101" s="97" t="s">
        <v>298</v>
      </c>
      <c r="D101" s="108" t="s">
        <v>496</v>
      </c>
      <c r="E101" s="106">
        <v>43454</v>
      </c>
      <c r="F101" s="106">
        <v>43454</v>
      </c>
      <c r="G101" s="100">
        <v>44181258.049999997</v>
      </c>
      <c r="H101" s="101">
        <v>11915017</v>
      </c>
      <c r="I101" s="101"/>
      <c r="J101" s="102">
        <v>11915017</v>
      </c>
      <c r="K101" s="117" t="s">
        <v>497</v>
      </c>
      <c r="L101" s="117" t="s">
        <v>497</v>
      </c>
      <c r="M101" s="111" t="s">
        <v>501</v>
      </c>
    </row>
    <row r="102" spans="1:13" ht="15.75">
      <c r="A102" s="97">
        <v>101</v>
      </c>
      <c r="B102" s="124" t="s">
        <v>499</v>
      </c>
      <c r="C102" s="97" t="s">
        <v>298</v>
      </c>
      <c r="D102" s="107" t="s">
        <v>500</v>
      </c>
      <c r="E102" s="106">
        <v>43501</v>
      </c>
      <c r="F102" s="106">
        <v>43501</v>
      </c>
      <c r="G102" s="100">
        <v>30103210.75</v>
      </c>
      <c r="H102" s="101">
        <v>28958052</v>
      </c>
      <c r="I102" s="101"/>
      <c r="J102" s="102">
        <v>28958052</v>
      </c>
      <c r="K102" s="117" t="s">
        <v>73</v>
      </c>
      <c r="L102" s="117" t="s">
        <v>73</v>
      </c>
      <c r="M102" s="111" t="s">
        <v>503</v>
      </c>
    </row>
    <row r="103" spans="1:13" ht="15.75">
      <c r="A103" s="97">
        <v>102</v>
      </c>
      <c r="B103" s="124" t="s">
        <v>499</v>
      </c>
      <c r="C103" s="97" t="s">
        <v>298</v>
      </c>
      <c r="D103" s="107" t="s">
        <v>502</v>
      </c>
      <c r="E103" s="106">
        <v>43545</v>
      </c>
      <c r="F103" s="106">
        <v>43545</v>
      </c>
      <c r="G103" s="100">
        <v>20271164.550000001</v>
      </c>
      <c r="H103" s="101">
        <v>25640225</v>
      </c>
      <c r="I103" s="101"/>
      <c r="J103" s="102">
        <v>25640225</v>
      </c>
      <c r="K103" s="117" t="s">
        <v>73</v>
      </c>
      <c r="L103" s="117" t="s">
        <v>73</v>
      </c>
      <c r="M103" s="111" t="s">
        <v>505</v>
      </c>
    </row>
    <row r="104" spans="1:13" ht="31.5">
      <c r="A104" s="97">
        <v>103</v>
      </c>
      <c r="B104" s="98" t="s">
        <v>499</v>
      </c>
      <c r="C104" s="97" t="s">
        <v>298</v>
      </c>
      <c r="D104" s="107" t="s">
        <v>504</v>
      </c>
      <c r="E104" s="106">
        <v>43590</v>
      </c>
      <c r="F104" s="106">
        <v>43590</v>
      </c>
      <c r="G104" s="100">
        <v>39003751.130000003</v>
      </c>
      <c r="H104" s="101">
        <v>49475775</v>
      </c>
      <c r="I104" s="101"/>
      <c r="J104" s="102">
        <v>49475775</v>
      </c>
      <c r="K104" s="117" t="s">
        <v>73</v>
      </c>
      <c r="L104" s="117" t="s">
        <v>73</v>
      </c>
      <c r="M104" s="111" t="s">
        <v>509</v>
      </c>
    </row>
    <row r="105" spans="1:13" ht="25.5">
      <c r="A105" s="97">
        <v>104</v>
      </c>
      <c r="B105" s="126" t="s">
        <v>506</v>
      </c>
      <c r="C105" s="97" t="s">
        <v>298</v>
      </c>
      <c r="D105" s="108" t="s">
        <v>507</v>
      </c>
      <c r="E105" s="106">
        <v>43454</v>
      </c>
      <c r="F105" s="106">
        <v>43454</v>
      </c>
      <c r="G105" s="100">
        <v>7757064.5499999998</v>
      </c>
      <c r="H105" s="101">
        <v>-9.3132257461547852E-10</v>
      </c>
      <c r="I105" s="101"/>
      <c r="J105" s="102">
        <v>-9.3132257461547852E-10</v>
      </c>
      <c r="K105" s="117" t="s">
        <v>508</v>
      </c>
      <c r="L105" s="127" t="s">
        <v>73</v>
      </c>
      <c r="M105" s="109" t="s">
        <v>513</v>
      </c>
    </row>
    <row r="106" spans="1:13">
      <c r="A106" s="97">
        <v>105</v>
      </c>
      <c r="B106" s="110" t="s">
        <v>510</v>
      </c>
      <c r="C106" s="97" t="s">
        <v>298</v>
      </c>
      <c r="D106" s="118" t="s">
        <v>511</v>
      </c>
      <c r="E106" s="106">
        <v>43500</v>
      </c>
      <c r="F106" s="106">
        <v>43384</v>
      </c>
      <c r="G106" s="100">
        <v>6003000</v>
      </c>
      <c r="H106" s="128">
        <v>0</v>
      </c>
      <c r="I106" s="129"/>
      <c r="J106" s="130">
        <v>0</v>
      </c>
      <c r="K106" s="131" t="s">
        <v>512</v>
      </c>
      <c r="L106" s="132" t="s">
        <v>738</v>
      </c>
      <c r="M106" s="133">
        <v>7180000</v>
      </c>
    </row>
    <row r="107" spans="1:13" ht="25.5">
      <c r="A107" s="97">
        <v>106</v>
      </c>
      <c r="B107" s="134" t="s">
        <v>514</v>
      </c>
      <c r="C107" s="97" t="s">
        <v>298</v>
      </c>
      <c r="D107" s="135" t="s">
        <v>515</v>
      </c>
      <c r="E107" s="136">
        <v>42317</v>
      </c>
      <c r="F107" s="136">
        <v>44192</v>
      </c>
      <c r="G107" s="100">
        <v>18813175</v>
      </c>
      <c r="H107" s="117">
        <v>0</v>
      </c>
      <c r="I107" s="101"/>
      <c r="J107" s="137"/>
      <c r="K107" s="117" t="s">
        <v>737</v>
      </c>
      <c r="L107" s="127" t="s">
        <v>47</v>
      </c>
      <c r="M107" s="133">
        <f>-1000000-300000-835000-830000-1250000-150000-300000-500000-325000-350000-320654-250000-2000000-500000-900000-1520000-50000-620000-300000-1900000-100000-300000-100000-50000-920000-700000-500000-191290-1300000-1600000-1200000-131400</f>
        <v>-21293344</v>
      </c>
    </row>
    <row r="108" spans="1:13">
      <c r="A108" s="97">
        <v>107</v>
      </c>
      <c r="B108" s="134" t="s">
        <v>514</v>
      </c>
      <c r="C108" s="97" t="s">
        <v>298</v>
      </c>
      <c r="D108" s="96" t="s">
        <v>516</v>
      </c>
      <c r="E108" s="106">
        <v>42907</v>
      </c>
      <c r="F108" s="106">
        <v>43616</v>
      </c>
      <c r="G108" s="100">
        <v>36880000</v>
      </c>
      <c r="H108" s="101">
        <v>0</v>
      </c>
      <c r="I108" s="101"/>
      <c r="J108" s="102">
        <v>0</v>
      </c>
      <c r="K108" s="138" t="s">
        <v>47</v>
      </c>
      <c r="L108" s="127" t="s">
        <v>47</v>
      </c>
      <c r="M108" s="97">
        <f>-54000-100000-50000-35000-65000-240000-100000-100000-110329-40000-500000-15094-47050-500000-474000-150000-157300-200000-217000-95000-40000-100000-54000-100000-470000-1662736-50000-386168-30000-100000-245000-500000-15000-100000-100000-100000-50000-50000-30247.29-1960035.81-23294-72275.11-200000-163000-50000</f>
        <v>-9901529.209999999</v>
      </c>
    </row>
    <row r="109" spans="1:13">
      <c r="A109" s="97">
        <v>108</v>
      </c>
      <c r="B109" s="124" t="s">
        <v>517</v>
      </c>
      <c r="C109" s="97" t="s">
        <v>298</v>
      </c>
      <c r="D109" s="108" t="s">
        <v>518</v>
      </c>
      <c r="E109" s="106">
        <v>42957</v>
      </c>
      <c r="F109" s="106">
        <v>42957</v>
      </c>
      <c r="G109" s="100">
        <v>24851035.199999999</v>
      </c>
      <c r="H109" s="101">
        <v>5199211.6000000006</v>
      </c>
      <c r="I109" s="101"/>
      <c r="J109" s="102">
        <v>5199211.6000000006</v>
      </c>
      <c r="K109" s="117" t="s">
        <v>17</v>
      </c>
      <c r="L109" s="117" t="s">
        <v>17</v>
      </c>
      <c r="M109" s="97"/>
    </row>
    <row r="110" spans="1:13">
      <c r="A110" s="97">
        <v>109</v>
      </c>
      <c r="B110" s="124" t="s">
        <v>517</v>
      </c>
      <c r="C110" s="97" t="s">
        <v>298</v>
      </c>
      <c r="D110" s="123" t="s">
        <v>519</v>
      </c>
      <c r="E110" s="106">
        <v>43187</v>
      </c>
      <c r="F110" s="106">
        <v>43187</v>
      </c>
      <c r="G110" s="100">
        <v>39098333.089999996</v>
      </c>
      <c r="H110" s="101">
        <v>43504031</v>
      </c>
      <c r="I110" s="101"/>
      <c r="J110" s="102">
        <v>43504031</v>
      </c>
      <c r="K110" s="117" t="s">
        <v>17</v>
      </c>
      <c r="L110" s="117" t="s">
        <v>17</v>
      </c>
      <c r="M110" s="97">
        <f>-2991468-6246230-250000-2595732-246939.79-303231-155340-198.15 -413.18</f>
        <v>-12789552.119999999</v>
      </c>
    </row>
    <row r="111" spans="1:13">
      <c r="A111" s="97">
        <v>110</v>
      </c>
      <c r="B111" s="124" t="s">
        <v>517</v>
      </c>
      <c r="C111" s="97" t="s">
        <v>298</v>
      </c>
      <c r="D111" s="123" t="s">
        <v>520</v>
      </c>
      <c r="E111" s="106">
        <v>43192</v>
      </c>
      <c r="F111" s="106">
        <v>43192</v>
      </c>
      <c r="G111" s="100">
        <v>49840445.259999998</v>
      </c>
      <c r="H111" s="101">
        <v>41656889</v>
      </c>
      <c r="I111" s="101"/>
      <c r="J111" s="102">
        <v>41656889</v>
      </c>
      <c r="K111" s="117" t="s">
        <v>17</v>
      </c>
      <c r="L111" s="117" t="s">
        <v>17</v>
      </c>
      <c r="M111" s="97"/>
    </row>
    <row r="112" spans="1:13">
      <c r="A112" s="97">
        <v>111</v>
      </c>
      <c r="B112" s="124" t="s">
        <v>517</v>
      </c>
      <c r="C112" s="97" t="s">
        <v>298</v>
      </c>
      <c r="D112" s="123" t="s">
        <v>521</v>
      </c>
      <c r="E112" s="106">
        <v>43446</v>
      </c>
      <c r="F112" s="106">
        <v>43446</v>
      </c>
      <c r="G112" s="100">
        <v>43751492.810000002</v>
      </c>
      <c r="H112" s="101">
        <v>43420131</v>
      </c>
      <c r="I112" s="101"/>
      <c r="J112" s="102"/>
      <c r="K112" s="117" t="s">
        <v>73</v>
      </c>
      <c r="L112" s="117" t="s">
        <v>73</v>
      </c>
      <c r="M112" s="97"/>
    </row>
    <row r="113" spans="1:13">
      <c r="A113" s="97">
        <v>112</v>
      </c>
      <c r="B113" s="124" t="s">
        <v>517</v>
      </c>
      <c r="C113" s="97" t="s">
        <v>298</v>
      </c>
      <c r="D113" s="139" t="s">
        <v>522</v>
      </c>
      <c r="E113" s="106">
        <v>43447</v>
      </c>
      <c r="F113" s="106">
        <v>43447</v>
      </c>
      <c r="G113" s="100">
        <v>23183561.48</v>
      </c>
      <c r="H113" s="101">
        <v>24352627.000000004</v>
      </c>
      <c r="I113" s="101"/>
      <c r="J113" s="102"/>
      <c r="K113" s="117" t="s">
        <v>73</v>
      </c>
      <c r="L113" s="117" t="s">
        <v>73</v>
      </c>
      <c r="M113" s="97"/>
    </row>
    <row r="114" spans="1:13">
      <c r="A114" s="97">
        <v>113</v>
      </c>
      <c r="B114" s="124" t="s">
        <v>517</v>
      </c>
      <c r="C114" s="97" t="s">
        <v>298</v>
      </c>
      <c r="D114" s="139" t="s">
        <v>523</v>
      </c>
      <c r="E114" s="106">
        <v>43451</v>
      </c>
      <c r="F114" s="106">
        <v>43451</v>
      </c>
      <c r="G114" s="100">
        <v>45553867.409999996</v>
      </c>
      <c r="H114" s="101">
        <v>32672977.999999993</v>
      </c>
      <c r="I114" s="101"/>
      <c r="J114" s="102"/>
      <c r="K114" s="117" t="s">
        <v>73</v>
      </c>
      <c r="L114" s="117" t="s">
        <v>73</v>
      </c>
      <c r="M114" s="97">
        <v>113531888.61</v>
      </c>
    </row>
    <row r="115" spans="1:13" ht="15.75">
      <c r="A115" s="97">
        <v>114</v>
      </c>
      <c r="B115" s="124" t="s">
        <v>517</v>
      </c>
      <c r="C115" s="97" t="s">
        <v>298</v>
      </c>
      <c r="D115" s="139" t="s">
        <v>72</v>
      </c>
      <c r="E115" s="106">
        <v>43826</v>
      </c>
      <c r="F115" s="106">
        <v>43461</v>
      </c>
      <c r="G115" s="100">
        <v>8034411.2400000002</v>
      </c>
      <c r="H115" s="101">
        <v>8412369</v>
      </c>
      <c r="I115" s="101"/>
      <c r="J115" s="102">
        <v>108858105</v>
      </c>
      <c r="K115" s="117" t="s">
        <v>73</v>
      </c>
      <c r="L115" s="117" t="s">
        <v>73</v>
      </c>
      <c r="M115" s="111" t="s">
        <v>526</v>
      </c>
    </row>
    <row r="116" spans="1:13" ht="15.75">
      <c r="A116" s="97">
        <v>115</v>
      </c>
      <c r="B116" s="124" t="s">
        <v>517</v>
      </c>
      <c r="C116" s="97" t="s">
        <v>298</v>
      </c>
      <c r="D116" s="107" t="s">
        <v>524</v>
      </c>
      <c r="E116" s="106">
        <v>43537</v>
      </c>
      <c r="F116" s="106">
        <v>43537</v>
      </c>
      <c r="G116" s="100">
        <v>16349865.279999999</v>
      </c>
      <c r="H116" s="101">
        <v>11837281.100000001</v>
      </c>
      <c r="I116" s="101"/>
      <c r="J116" s="102">
        <v>11837281.100000001</v>
      </c>
      <c r="K116" s="117" t="s">
        <v>525</v>
      </c>
      <c r="L116" s="117" t="s">
        <v>525</v>
      </c>
      <c r="M116" s="140" t="s">
        <v>530</v>
      </c>
    </row>
    <row r="117" spans="1:13" ht="15.75">
      <c r="A117" s="97">
        <v>116</v>
      </c>
      <c r="B117" s="98" t="s">
        <v>527</v>
      </c>
      <c r="C117" s="97" t="s">
        <v>298</v>
      </c>
      <c r="D117" s="107" t="s">
        <v>528</v>
      </c>
      <c r="E117" s="106">
        <v>44698</v>
      </c>
      <c r="F117" s="106">
        <v>43615</v>
      </c>
      <c r="G117" s="100">
        <v>28423941</v>
      </c>
      <c r="H117" s="101">
        <v>31729910</v>
      </c>
      <c r="I117" s="101"/>
      <c r="J117" s="102">
        <v>0</v>
      </c>
      <c r="K117" s="117" t="s">
        <v>53</v>
      </c>
      <c r="L117" s="125" t="s">
        <v>529</v>
      </c>
      <c r="M117" s="111" t="s">
        <v>533</v>
      </c>
    </row>
    <row r="118" spans="1:13" ht="15.75">
      <c r="A118" s="97">
        <v>117</v>
      </c>
      <c r="B118" s="98" t="s">
        <v>531</v>
      </c>
      <c r="C118" s="97" t="s">
        <v>298</v>
      </c>
      <c r="D118" s="96" t="s">
        <v>532</v>
      </c>
      <c r="E118" s="106">
        <v>42927</v>
      </c>
      <c r="F118" s="106">
        <v>42927</v>
      </c>
      <c r="G118" s="100">
        <v>685851.81</v>
      </c>
      <c r="H118" s="101">
        <v>982167.00000000012</v>
      </c>
      <c r="I118" s="101"/>
      <c r="J118" s="102">
        <v>982167.00000000012</v>
      </c>
      <c r="K118" s="101" t="s">
        <v>17</v>
      </c>
      <c r="L118" s="141" t="s">
        <v>17</v>
      </c>
      <c r="M118" s="111" t="s">
        <v>80</v>
      </c>
    </row>
    <row r="119" spans="1:13">
      <c r="A119" s="97">
        <v>118</v>
      </c>
      <c r="B119" s="98" t="s">
        <v>71</v>
      </c>
      <c r="C119" s="97" t="s">
        <v>298</v>
      </c>
      <c r="D119" s="96"/>
      <c r="E119" s="106"/>
      <c r="F119" s="106"/>
      <c r="H119" s="101">
        <v>0</v>
      </c>
      <c r="I119" s="101"/>
      <c r="J119" s="102"/>
      <c r="K119" s="138">
        <v>0</v>
      </c>
      <c r="L119" s="142"/>
      <c r="M119" s="97">
        <v>-320000</v>
      </c>
    </row>
    <row r="120" spans="1:13" ht="15.75">
      <c r="A120" s="97">
        <v>119</v>
      </c>
      <c r="B120" s="98" t="s">
        <v>534</v>
      </c>
      <c r="C120" s="97" t="s">
        <v>298</v>
      </c>
      <c r="D120" s="108" t="s">
        <v>535</v>
      </c>
      <c r="E120" s="106">
        <v>40346</v>
      </c>
      <c r="F120" s="106">
        <v>40346</v>
      </c>
      <c r="G120" s="100">
        <v>7444000</v>
      </c>
      <c r="H120" s="101">
        <v>630301</v>
      </c>
      <c r="I120" s="101"/>
      <c r="J120" s="102"/>
      <c r="K120" s="101" t="s">
        <v>536</v>
      </c>
      <c r="L120" s="101" t="s">
        <v>536</v>
      </c>
      <c r="M120" s="111" t="s">
        <v>538</v>
      </c>
    </row>
    <row r="121" spans="1:13" ht="15.75">
      <c r="A121" s="97">
        <v>120</v>
      </c>
      <c r="B121" s="98" t="s">
        <v>534</v>
      </c>
      <c r="C121" s="97" t="s">
        <v>298</v>
      </c>
      <c r="D121" s="108" t="s">
        <v>537</v>
      </c>
      <c r="E121" s="106">
        <v>41011</v>
      </c>
      <c r="F121" s="106">
        <v>41011</v>
      </c>
      <c r="G121" s="100">
        <v>9347552</v>
      </c>
      <c r="H121" s="101">
        <v>-630301</v>
      </c>
      <c r="I121" s="101"/>
      <c r="J121" s="102">
        <v>0</v>
      </c>
      <c r="K121" s="101" t="s">
        <v>536</v>
      </c>
      <c r="L121" s="101" t="s">
        <v>536</v>
      </c>
      <c r="M121" s="140" t="s">
        <v>540</v>
      </c>
    </row>
    <row r="122" spans="1:13">
      <c r="A122" s="97">
        <v>121</v>
      </c>
      <c r="B122" s="98" t="s">
        <v>527</v>
      </c>
      <c r="C122" s="97" t="s">
        <v>298</v>
      </c>
      <c r="D122" s="96" t="s">
        <v>539</v>
      </c>
      <c r="E122" s="106">
        <v>43759</v>
      </c>
      <c r="F122" s="106">
        <v>43759</v>
      </c>
      <c r="G122" s="100">
        <v>18227562.189999998</v>
      </c>
      <c r="H122" s="101">
        <v>24624925.189999998</v>
      </c>
      <c r="I122" s="101"/>
      <c r="J122" s="102">
        <v>0</v>
      </c>
      <c r="K122" s="101"/>
      <c r="L122" s="125" t="s">
        <v>529</v>
      </c>
      <c r="M122" s="96" t="s">
        <v>543</v>
      </c>
    </row>
    <row r="123" spans="1:13">
      <c r="A123" s="97">
        <v>122</v>
      </c>
      <c r="B123" s="143" t="s">
        <v>541</v>
      </c>
      <c r="C123" s="97" t="s">
        <v>298</v>
      </c>
      <c r="D123" s="96" t="s">
        <v>542</v>
      </c>
      <c r="E123" s="106">
        <v>43768</v>
      </c>
      <c r="F123" s="106">
        <v>43768</v>
      </c>
      <c r="H123" s="101">
        <v>0</v>
      </c>
      <c r="I123" s="101"/>
      <c r="J123" s="101">
        <v>0</v>
      </c>
      <c r="K123" s="101"/>
      <c r="L123" s="144"/>
      <c r="M123" s="96" t="s">
        <v>543</v>
      </c>
    </row>
    <row r="124" spans="1:13">
      <c r="A124" s="97">
        <v>123</v>
      </c>
      <c r="B124" s="98" t="s">
        <v>544</v>
      </c>
      <c r="C124" s="97" t="s">
        <v>298</v>
      </c>
      <c r="D124" s="96" t="s">
        <v>542</v>
      </c>
      <c r="E124" s="106">
        <v>43768</v>
      </c>
      <c r="F124" s="106">
        <v>43768</v>
      </c>
      <c r="G124" s="100">
        <v>23472261.690000001</v>
      </c>
      <c r="H124" s="101">
        <v>0</v>
      </c>
      <c r="I124" s="101"/>
      <c r="J124" s="101">
        <v>0</v>
      </c>
      <c r="K124" s="101"/>
      <c r="L124" s="144"/>
      <c r="M124" s="96" t="s">
        <v>85</v>
      </c>
    </row>
    <row r="125" spans="1:13">
      <c r="A125" s="97">
        <v>124</v>
      </c>
      <c r="B125" s="143" t="s">
        <v>545</v>
      </c>
      <c r="C125" s="97" t="s">
        <v>298</v>
      </c>
      <c r="D125" s="96" t="s">
        <v>546</v>
      </c>
      <c r="E125" s="106">
        <v>43796</v>
      </c>
      <c r="F125" s="106" t="s">
        <v>547</v>
      </c>
      <c r="H125" s="101" t="s">
        <v>548</v>
      </c>
      <c r="I125" s="101"/>
      <c r="J125" s="101" t="s">
        <v>548</v>
      </c>
      <c r="K125" s="101"/>
      <c r="L125" s="144"/>
      <c r="M125" s="96" t="s">
        <v>85</v>
      </c>
    </row>
    <row r="126" spans="1:13" ht="15.75">
      <c r="A126" s="97">
        <v>125</v>
      </c>
      <c r="B126" s="98" t="s">
        <v>549</v>
      </c>
      <c r="C126" s="97" t="s">
        <v>298</v>
      </c>
      <c r="D126" s="96" t="s">
        <v>546</v>
      </c>
      <c r="E126" s="106">
        <v>43796</v>
      </c>
      <c r="F126" s="106">
        <v>43796</v>
      </c>
      <c r="G126" s="100">
        <v>12487848.099999998</v>
      </c>
      <c r="H126" s="101">
        <v>10783162.1</v>
      </c>
      <c r="I126" s="101"/>
      <c r="J126" s="101">
        <v>10783162.1</v>
      </c>
      <c r="K126" s="101"/>
      <c r="L126" s="144"/>
      <c r="M126" s="111" t="s">
        <v>552</v>
      </c>
    </row>
    <row r="127" spans="1:13" ht="15.75">
      <c r="A127" s="97">
        <v>126</v>
      </c>
      <c r="B127" s="143" t="s">
        <v>550</v>
      </c>
      <c r="C127" s="97" t="s">
        <v>298</v>
      </c>
      <c r="D127" s="108" t="s">
        <v>551</v>
      </c>
      <c r="E127" s="106">
        <v>43851</v>
      </c>
      <c r="F127" s="106">
        <v>43851</v>
      </c>
      <c r="G127" s="100">
        <v>37187</v>
      </c>
      <c r="H127" s="145">
        <v>0</v>
      </c>
      <c r="I127" s="146"/>
      <c r="J127" s="101">
        <v>0</v>
      </c>
      <c r="K127" s="101"/>
      <c r="L127" s="144"/>
      <c r="M127" s="111" t="s">
        <v>552</v>
      </c>
    </row>
    <row r="128" spans="1:13" ht="15.75">
      <c r="A128" s="97">
        <v>127</v>
      </c>
      <c r="B128" s="98" t="s">
        <v>553</v>
      </c>
      <c r="C128" s="97" t="s">
        <v>298</v>
      </c>
      <c r="D128" s="108" t="s">
        <v>551</v>
      </c>
      <c r="E128" s="106">
        <v>43851</v>
      </c>
      <c r="F128" s="106">
        <v>43851</v>
      </c>
      <c r="G128" s="100">
        <v>2825711.39</v>
      </c>
      <c r="H128" s="147">
        <v>1757517.7000000004</v>
      </c>
      <c r="I128" s="145"/>
      <c r="J128" s="101">
        <v>1757517.7000000004</v>
      </c>
      <c r="K128" s="101" t="s">
        <v>83</v>
      </c>
      <c r="L128" s="144"/>
      <c r="M128" s="111" t="s">
        <v>557</v>
      </c>
    </row>
    <row r="129" spans="1:13" ht="15.75">
      <c r="A129" s="97">
        <v>128</v>
      </c>
      <c r="B129" s="143" t="s">
        <v>554</v>
      </c>
      <c r="C129" s="97" t="s">
        <v>298</v>
      </c>
      <c r="D129" s="108" t="s">
        <v>555</v>
      </c>
      <c r="E129" s="106">
        <v>43852</v>
      </c>
      <c r="F129" s="106" t="s">
        <v>556</v>
      </c>
      <c r="G129" s="100">
        <v>675587</v>
      </c>
      <c r="H129" s="145">
        <v>0</v>
      </c>
      <c r="I129" s="145"/>
      <c r="J129" s="145">
        <v>0</v>
      </c>
      <c r="K129" s="145"/>
      <c r="L129" s="148"/>
      <c r="M129" s="111" t="s">
        <v>557</v>
      </c>
    </row>
    <row r="130" spans="1:13" ht="15.75">
      <c r="A130" s="97">
        <v>129</v>
      </c>
      <c r="B130" s="98" t="s">
        <v>558</v>
      </c>
      <c r="C130" s="97" t="s">
        <v>298</v>
      </c>
      <c r="D130" s="108" t="s">
        <v>555</v>
      </c>
      <c r="E130" s="106">
        <v>43852</v>
      </c>
      <c r="F130" s="106">
        <v>43852</v>
      </c>
      <c r="G130" s="100">
        <v>45053847.559999995</v>
      </c>
      <c r="H130" s="147">
        <v>50092281.999999993</v>
      </c>
      <c r="I130" s="145"/>
      <c r="J130" s="101">
        <v>50092281.999999993</v>
      </c>
      <c r="K130" s="101" t="s">
        <v>559</v>
      </c>
      <c r="L130" s="141"/>
      <c r="M130" s="111" t="s">
        <v>561</v>
      </c>
    </row>
    <row r="131" spans="1:13" ht="15.75">
      <c r="A131" s="97">
        <v>130</v>
      </c>
      <c r="B131" s="149" t="s">
        <v>95</v>
      </c>
      <c r="C131" s="97" t="s">
        <v>298</v>
      </c>
      <c r="D131" s="108" t="s">
        <v>560</v>
      </c>
      <c r="E131" s="106">
        <v>43852</v>
      </c>
      <c r="F131" s="106">
        <v>43852</v>
      </c>
      <c r="G131" s="100">
        <v>1146587</v>
      </c>
      <c r="H131" s="145">
        <v>0</v>
      </c>
      <c r="I131" s="145"/>
      <c r="J131" s="101">
        <v>0</v>
      </c>
      <c r="K131" s="101"/>
      <c r="L131" s="144"/>
      <c r="M131" s="111" t="s">
        <v>561</v>
      </c>
    </row>
    <row r="132" spans="1:13" ht="15.75">
      <c r="A132" s="97">
        <v>131</v>
      </c>
      <c r="B132" s="124" t="s">
        <v>499</v>
      </c>
      <c r="C132" s="97" t="s">
        <v>298</v>
      </c>
      <c r="D132" s="108" t="s">
        <v>560</v>
      </c>
      <c r="E132" s="106">
        <v>43852</v>
      </c>
      <c r="F132" s="106">
        <v>43852</v>
      </c>
      <c r="G132" s="100">
        <v>14422180.670000002</v>
      </c>
      <c r="H132" s="147">
        <v>97585675.999999985</v>
      </c>
      <c r="I132" s="145"/>
      <c r="J132" s="101">
        <v>97585675.999999985</v>
      </c>
      <c r="K132" s="101" t="s">
        <v>83</v>
      </c>
      <c r="L132" s="144"/>
      <c r="M132" s="111" t="s">
        <v>566</v>
      </c>
    </row>
    <row r="133" spans="1:13" ht="15.75">
      <c r="A133" s="97">
        <v>132</v>
      </c>
      <c r="B133" s="149" t="s">
        <v>562</v>
      </c>
      <c r="C133" s="97" t="s">
        <v>298</v>
      </c>
      <c r="D133" s="108" t="s">
        <v>563</v>
      </c>
      <c r="E133" s="106" t="s">
        <v>564</v>
      </c>
      <c r="F133" s="106" t="s">
        <v>565</v>
      </c>
      <c r="G133" s="100">
        <v>504450</v>
      </c>
      <c r="H133" s="147">
        <v>0</v>
      </c>
      <c r="I133" s="145"/>
      <c r="J133" s="101">
        <v>0</v>
      </c>
      <c r="K133" s="101"/>
      <c r="L133" s="144"/>
      <c r="M133" s="111" t="s">
        <v>566</v>
      </c>
    </row>
    <row r="134" spans="1:13" ht="15.75">
      <c r="A134" s="97">
        <v>133</v>
      </c>
      <c r="B134" s="124" t="s">
        <v>567</v>
      </c>
      <c r="C134" s="97" t="s">
        <v>298</v>
      </c>
      <c r="D134" s="108" t="s">
        <v>563</v>
      </c>
      <c r="E134" s="106" t="s">
        <v>564</v>
      </c>
      <c r="F134" s="106" t="s">
        <v>565</v>
      </c>
      <c r="G134" s="100">
        <v>46060808.319999993</v>
      </c>
      <c r="H134" s="147">
        <v>0</v>
      </c>
      <c r="I134" s="145"/>
      <c r="J134" s="101">
        <v>0</v>
      </c>
      <c r="K134" s="101"/>
      <c r="L134" s="144"/>
      <c r="M134" s="150" t="s">
        <v>570</v>
      </c>
    </row>
    <row r="135" spans="1:13" ht="15.75">
      <c r="A135" s="97">
        <v>134</v>
      </c>
      <c r="B135" s="151" t="s">
        <v>568</v>
      </c>
      <c r="C135" s="97" t="s">
        <v>298</v>
      </c>
      <c r="D135" s="108" t="s">
        <v>569</v>
      </c>
      <c r="E135" s="106" t="s">
        <v>565</v>
      </c>
      <c r="F135" s="106" t="s">
        <v>565</v>
      </c>
      <c r="G135" s="100">
        <v>1461223</v>
      </c>
      <c r="H135" s="124">
        <v>0</v>
      </c>
      <c r="I135" s="145"/>
      <c r="J135" s="101">
        <v>0</v>
      </c>
      <c r="K135" s="101"/>
      <c r="L135" s="152"/>
      <c r="M135" s="150" t="s">
        <v>570</v>
      </c>
    </row>
    <row r="136" spans="1:13" ht="15.75">
      <c r="A136" s="97">
        <v>135</v>
      </c>
      <c r="B136" s="124" t="s">
        <v>571</v>
      </c>
      <c r="C136" s="97" t="s">
        <v>298</v>
      </c>
      <c r="D136" s="108" t="s">
        <v>569</v>
      </c>
      <c r="E136" s="106" t="s">
        <v>565</v>
      </c>
      <c r="F136" s="106" t="s">
        <v>565</v>
      </c>
      <c r="G136" s="100">
        <v>95388930.389999986</v>
      </c>
      <c r="H136" s="147">
        <v>0</v>
      </c>
      <c r="I136" s="145"/>
      <c r="J136" s="101">
        <v>0</v>
      </c>
      <c r="K136" s="101"/>
      <c r="L136" s="152">
        <f>K135+K136</f>
        <v>0</v>
      </c>
      <c r="M136" s="111" t="s">
        <v>573</v>
      </c>
    </row>
    <row r="137" spans="1:13" ht="15.75">
      <c r="A137" s="97">
        <v>136</v>
      </c>
      <c r="B137" s="124" t="s">
        <v>527</v>
      </c>
      <c r="C137" s="97" t="s">
        <v>298</v>
      </c>
      <c r="D137" s="108" t="s">
        <v>572</v>
      </c>
      <c r="E137" s="106">
        <v>43997</v>
      </c>
      <c r="F137" s="106">
        <v>43997</v>
      </c>
      <c r="G137" s="100">
        <v>12924573.34</v>
      </c>
      <c r="H137" s="145">
        <v>12911953</v>
      </c>
      <c r="I137" s="145"/>
      <c r="J137" s="147">
        <v>0</v>
      </c>
      <c r="K137" s="153"/>
      <c r="L137" s="154" t="s">
        <v>48</v>
      </c>
      <c r="M137" s="111" t="s">
        <v>576</v>
      </c>
    </row>
    <row r="138" spans="1:13" ht="15.75">
      <c r="A138" s="97">
        <v>137</v>
      </c>
      <c r="B138" s="124" t="s">
        <v>574</v>
      </c>
      <c r="C138" s="97" t="s">
        <v>298</v>
      </c>
      <c r="D138" s="108" t="s">
        <v>575</v>
      </c>
      <c r="E138" s="106">
        <v>43998</v>
      </c>
      <c r="F138" s="106">
        <v>43998</v>
      </c>
      <c r="G138" s="100">
        <v>99851018.030000001</v>
      </c>
      <c r="H138" s="145">
        <v>126392497</v>
      </c>
      <c r="I138" s="145"/>
      <c r="J138" s="155">
        <v>126392497</v>
      </c>
      <c r="K138" s="156"/>
      <c r="L138" s="157"/>
      <c r="M138" s="111" t="s">
        <v>578</v>
      </c>
    </row>
    <row r="139" spans="1:13" ht="15.75">
      <c r="A139" s="97">
        <v>138</v>
      </c>
      <c r="B139" s="98" t="s">
        <v>558</v>
      </c>
      <c r="C139" s="97" t="s">
        <v>298</v>
      </c>
      <c r="D139" s="108" t="s">
        <v>577</v>
      </c>
      <c r="E139" s="106">
        <v>44077</v>
      </c>
      <c r="F139" s="106">
        <v>44077</v>
      </c>
      <c r="G139" s="100">
        <v>20660581.609999999</v>
      </c>
      <c r="H139" s="147">
        <v>22145375.000000004</v>
      </c>
      <c r="I139" s="145"/>
      <c r="J139" s="147">
        <v>22145375.000000004</v>
      </c>
      <c r="K139" s="147"/>
      <c r="L139" s="157"/>
      <c r="M139" s="111" t="s">
        <v>580</v>
      </c>
    </row>
    <row r="140" spans="1:13" ht="15.75">
      <c r="A140" s="97">
        <v>139</v>
      </c>
      <c r="B140" s="124" t="s">
        <v>549</v>
      </c>
      <c r="C140" s="97" t="s">
        <v>298</v>
      </c>
      <c r="D140" s="108" t="s">
        <v>579</v>
      </c>
      <c r="E140" s="106">
        <v>44080</v>
      </c>
      <c r="F140" s="106">
        <v>44080</v>
      </c>
      <c r="G140" s="100">
        <v>13966773.07</v>
      </c>
      <c r="H140" s="147">
        <v>15745406</v>
      </c>
      <c r="I140" s="145"/>
      <c r="J140" s="147">
        <v>15745406</v>
      </c>
      <c r="K140" s="147"/>
      <c r="L140" s="157"/>
      <c r="M140" s="111" t="s">
        <v>582</v>
      </c>
    </row>
    <row r="141" spans="1:13" ht="15.75">
      <c r="A141" s="97">
        <v>140</v>
      </c>
      <c r="B141" s="124" t="s">
        <v>107</v>
      </c>
      <c r="C141" s="97" t="s">
        <v>298</v>
      </c>
      <c r="D141" s="108" t="s">
        <v>581</v>
      </c>
      <c r="E141" s="106">
        <v>44080</v>
      </c>
      <c r="F141" s="106">
        <v>44080</v>
      </c>
      <c r="G141" s="100">
        <v>47371116.200000003</v>
      </c>
      <c r="H141" s="147">
        <v>60430093</v>
      </c>
      <c r="I141" s="145"/>
      <c r="J141" s="147">
        <v>60430093</v>
      </c>
      <c r="K141" s="147"/>
      <c r="L141" s="157"/>
      <c r="M141" s="111" t="s">
        <v>586</v>
      </c>
    </row>
    <row r="142" spans="1:13" ht="15.75">
      <c r="A142" s="97">
        <v>141</v>
      </c>
      <c r="B142" s="149" t="s">
        <v>583</v>
      </c>
      <c r="C142" s="97" t="s">
        <v>298</v>
      </c>
      <c r="D142" s="158" t="s">
        <v>585</v>
      </c>
      <c r="E142" s="71">
        <v>44098</v>
      </c>
      <c r="F142" s="71">
        <v>44098</v>
      </c>
      <c r="G142" s="100">
        <v>16610750.079999998</v>
      </c>
      <c r="H142" s="159">
        <v>0</v>
      </c>
      <c r="I142" s="160"/>
      <c r="J142" s="159">
        <v>0</v>
      </c>
      <c r="K142" s="159"/>
      <c r="L142" s="161"/>
      <c r="M142" s="111" t="s">
        <v>589</v>
      </c>
    </row>
    <row r="143" spans="1:13" ht="15.75">
      <c r="A143" s="97">
        <v>142</v>
      </c>
      <c r="B143" s="124" t="s">
        <v>101</v>
      </c>
      <c r="C143" s="97" t="s">
        <v>298</v>
      </c>
      <c r="D143" s="108" t="s">
        <v>587</v>
      </c>
      <c r="E143" s="106">
        <v>44102</v>
      </c>
      <c r="F143" s="106" t="s">
        <v>588</v>
      </c>
      <c r="G143" s="100">
        <v>66395209.109999999</v>
      </c>
      <c r="H143" s="147">
        <v>0</v>
      </c>
      <c r="I143" s="145"/>
      <c r="J143" s="147">
        <v>0</v>
      </c>
      <c r="K143" s="147"/>
      <c r="L143" s="157"/>
      <c r="M143" s="111"/>
    </row>
    <row r="144" spans="1:13" ht="15.75">
      <c r="A144" s="97">
        <v>143</v>
      </c>
      <c r="B144" s="124" t="s">
        <v>590</v>
      </c>
      <c r="C144" s="97" t="s">
        <v>298</v>
      </c>
      <c r="D144" s="108" t="s">
        <v>591</v>
      </c>
      <c r="E144" s="106">
        <v>44115</v>
      </c>
      <c r="F144" s="106" t="s">
        <v>592</v>
      </c>
      <c r="G144" s="100">
        <v>4794920.3499999996</v>
      </c>
      <c r="H144" s="153">
        <v>-4.6566128730773926E-10</v>
      </c>
      <c r="I144" s="145"/>
      <c r="J144" s="153">
        <v>-4.6566128730773926E-10</v>
      </c>
      <c r="K144" s="153"/>
      <c r="L144" s="157"/>
      <c r="M144" s="111"/>
    </row>
    <row r="145" spans="1:13" ht="15.75">
      <c r="A145" s="97">
        <v>144</v>
      </c>
      <c r="B145" s="124" t="s">
        <v>593</v>
      </c>
      <c r="C145" s="97" t="s">
        <v>298</v>
      </c>
      <c r="D145" s="108" t="s">
        <v>595</v>
      </c>
      <c r="E145" s="106" t="s">
        <v>596</v>
      </c>
      <c r="F145" s="106" t="s">
        <v>596</v>
      </c>
      <c r="G145" s="100">
        <v>57887331.75</v>
      </c>
      <c r="H145" s="153">
        <v>7.4505805969238281E-9</v>
      </c>
      <c r="I145" s="145"/>
      <c r="J145" s="153">
        <v>7.4505805969238281E-9</v>
      </c>
      <c r="K145" s="153"/>
      <c r="L145" s="157"/>
      <c r="M145" s="111"/>
    </row>
    <row r="146" spans="1:13" ht="15.75">
      <c r="A146" s="97">
        <v>145</v>
      </c>
      <c r="B146" s="124" t="s">
        <v>101</v>
      </c>
      <c r="C146" s="97" t="s">
        <v>298</v>
      </c>
      <c r="D146" s="108" t="s">
        <v>597</v>
      </c>
      <c r="E146" s="106" t="s">
        <v>598</v>
      </c>
      <c r="F146" s="106" t="str">
        <f t="shared" ref="F146:F154" si="0">E146</f>
        <v>,05-11-2020</v>
      </c>
      <c r="G146" s="100">
        <v>99988872.670000002</v>
      </c>
      <c r="H146" s="124">
        <v>0</v>
      </c>
      <c r="I146" s="145"/>
      <c r="J146" s="153">
        <v>0</v>
      </c>
      <c r="K146" s="153"/>
      <c r="L146" s="157"/>
      <c r="M146" s="111"/>
    </row>
    <row r="147" spans="1:13" ht="15.75">
      <c r="A147" s="97">
        <v>146</v>
      </c>
      <c r="B147" s="149" t="s">
        <v>599</v>
      </c>
      <c r="C147" s="97" t="s">
        <v>298</v>
      </c>
      <c r="D147" s="158" t="s">
        <v>600</v>
      </c>
      <c r="E147" s="71" t="s">
        <v>601</v>
      </c>
      <c r="F147" s="71" t="str">
        <f t="shared" si="0"/>
        <v>,03-01-2021</v>
      </c>
      <c r="G147" s="100">
        <v>7875034.9000000004</v>
      </c>
      <c r="H147" s="149">
        <v>4682109</v>
      </c>
      <c r="I147" s="160"/>
      <c r="J147" s="162">
        <v>4682109</v>
      </c>
      <c r="K147" s="162"/>
      <c r="L147" s="163"/>
      <c r="M147" s="111"/>
    </row>
    <row r="148" spans="1:13" ht="15.75">
      <c r="A148" s="97">
        <v>147</v>
      </c>
      <c r="B148" s="124" t="s">
        <v>590</v>
      </c>
      <c r="C148" s="97" t="s">
        <v>298</v>
      </c>
      <c r="D148" s="108" t="s">
        <v>602</v>
      </c>
      <c r="E148" s="106" t="s">
        <v>603</v>
      </c>
      <c r="F148" s="106" t="str">
        <f t="shared" si="0"/>
        <v>,07-02-2021</v>
      </c>
      <c r="G148" s="100">
        <v>4221223.4400000004</v>
      </c>
      <c r="H148" s="124">
        <v>4.6566128730773926E-10</v>
      </c>
      <c r="I148" s="145"/>
      <c r="J148" s="153">
        <v>4.6566128730773926E-10</v>
      </c>
      <c r="K148" s="153"/>
      <c r="L148" s="157"/>
      <c r="M148" s="111"/>
    </row>
    <row r="149" spans="1:13" ht="15.75">
      <c r="A149" s="97">
        <v>148</v>
      </c>
      <c r="B149" s="124" t="s">
        <v>604</v>
      </c>
      <c r="C149" s="97" t="s">
        <v>298</v>
      </c>
      <c r="D149" s="108" t="s">
        <v>606</v>
      </c>
      <c r="E149" s="106" t="s">
        <v>607</v>
      </c>
      <c r="F149" s="106" t="str">
        <f t="shared" si="0"/>
        <v>,08-02-2021</v>
      </c>
      <c r="G149" s="100">
        <v>77350837.680000007</v>
      </c>
      <c r="H149" s="124">
        <v>0</v>
      </c>
      <c r="I149" s="145"/>
      <c r="J149" s="153">
        <v>0</v>
      </c>
      <c r="K149" s="153"/>
      <c r="L149" s="157"/>
      <c r="M149" s="111"/>
    </row>
    <row r="150" spans="1:13" ht="15.75">
      <c r="A150" s="97">
        <v>149</v>
      </c>
      <c r="B150" s="124" t="s">
        <v>604</v>
      </c>
      <c r="C150" s="97" t="s">
        <v>298</v>
      </c>
      <c r="D150" s="108" t="s">
        <v>608</v>
      </c>
      <c r="E150" s="106" t="s">
        <v>609</v>
      </c>
      <c r="F150" s="106" t="str">
        <f t="shared" si="0"/>
        <v>,11-05-2021</v>
      </c>
      <c r="G150" s="100">
        <v>153299032.78999999</v>
      </c>
      <c r="H150" s="124">
        <v>0</v>
      </c>
      <c r="I150" s="145"/>
      <c r="J150" s="153">
        <v>0</v>
      </c>
      <c r="K150" s="153"/>
      <c r="L150" s="157"/>
      <c r="M150" s="111"/>
    </row>
    <row r="151" spans="1:13" ht="15.75">
      <c r="A151" s="97">
        <v>150</v>
      </c>
      <c r="B151" s="124" t="s">
        <v>129</v>
      </c>
      <c r="C151" s="97" t="s">
        <v>298</v>
      </c>
      <c r="D151" s="108" t="s">
        <v>610</v>
      </c>
      <c r="E151" s="106" t="s">
        <v>611</v>
      </c>
      <c r="F151" s="106" t="str">
        <f t="shared" si="0"/>
        <v>,31-05-2021</v>
      </c>
      <c r="G151" s="100">
        <v>1440703.57</v>
      </c>
      <c r="H151" s="124">
        <v>2178847.1800000002</v>
      </c>
      <c r="I151" s="145"/>
      <c r="J151" s="153">
        <v>2178847.1800000002</v>
      </c>
      <c r="K151" s="153"/>
      <c r="L151" s="164" t="s">
        <v>48</v>
      </c>
      <c r="M151" s="111"/>
    </row>
    <row r="152" spans="1:13" ht="15.75">
      <c r="A152" s="97">
        <v>151</v>
      </c>
      <c r="B152" s="124" t="s">
        <v>571</v>
      </c>
      <c r="C152" s="97" t="s">
        <v>298</v>
      </c>
      <c r="D152" s="108" t="s">
        <v>612</v>
      </c>
      <c r="E152" s="106" t="s">
        <v>613</v>
      </c>
      <c r="F152" s="106" t="str">
        <f t="shared" si="0"/>
        <v>,07-06-2021</v>
      </c>
      <c r="G152" s="100">
        <v>143341209.06999999</v>
      </c>
      <c r="H152" s="124">
        <v>0</v>
      </c>
      <c r="I152" s="145"/>
      <c r="J152" s="153">
        <v>0</v>
      </c>
      <c r="K152" s="153"/>
      <c r="L152" s="157"/>
      <c r="M152" s="111"/>
    </row>
    <row r="153" spans="1:13" ht="15.75">
      <c r="A153" s="97">
        <v>152</v>
      </c>
      <c r="B153" s="124" t="s">
        <v>614</v>
      </c>
      <c r="C153" s="97" t="s">
        <v>298</v>
      </c>
      <c r="D153" s="108" t="s">
        <v>615</v>
      </c>
      <c r="E153" s="106" t="s">
        <v>616</v>
      </c>
      <c r="F153" s="106" t="str">
        <f t="shared" si="0"/>
        <v>,23-06-2021</v>
      </c>
      <c r="G153" s="100">
        <v>63541732.150000006</v>
      </c>
      <c r="H153" s="124">
        <v>0</v>
      </c>
      <c r="I153" s="145"/>
      <c r="J153" s="153">
        <v>0</v>
      </c>
      <c r="K153" s="153"/>
      <c r="L153" s="165" t="s">
        <v>127</v>
      </c>
      <c r="M153" s="111"/>
    </row>
    <row r="154" spans="1:13" ht="15.75">
      <c r="A154" s="97">
        <v>153</v>
      </c>
      <c r="B154" s="124" t="s">
        <v>617</v>
      </c>
      <c r="C154" s="97" t="s">
        <v>298</v>
      </c>
      <c r="D154" s="108" t="s">
        <v>618</v>
      </c>
      <c r="E154" s="106" t="s">
        <v>619</v>
      </c>
      <c r="F154" s="106" t="str">
        <f t="shared" si="0"/>
        <v>,28-06-2021</v>
      </c>
      <c r="G154" s="100">
        <v>250935121.72999999</v>
      </c>
      <c r="H154" s="145">
        <v>0</v>
      </c>
      <c r="I154" s="145"/>
      <c r="J154" s="153">
        <v>0</v>
      </c>
      <c r="K154" s="153"/>
      <c r="L154" s="166"/>
      <c r="M154" s="111"/>
    </row>
    <row r="155" spans="1:13" ht="15.75">
      <c r="A155" s="97">
        <v>154</v>
      </c>
      <c r="B155" s="167" t="s">
        <v>620</v>
      </c>
      <c r="C155" s="97" t="s">
        <v>298</v>
      </c>
      <c r="D155" s="108" t="s">
        <v>621</v>
      </c>
      <c r="E155" s="106" t="s">
        <v>622</v>
      </c>
      <c r="F155" s="106" t="s">
        <v>622</v>
      </c>
      <c r="G155" s="100">
        <v>11998798.43</v>
      </c>
      <c r="H155" s="145">
        <v>5539317.6099999994</v>
      </c>
      <c r="I155" s="145"/>
      <c r="J155" s="153">
        <v>5539317.6099999994</v>
      </c>
      <c r="K155" s="153"/>
      <c r="L155" s="157"/>
      <c r="M155" s="111"/>
    </row>
    <row r="156" spans="1:13" ht="15.75">
      <c r="A156" s="97">
        <v>155</v>
      </c>
      <c r="B156" s="167" t="s">
        <v>623</v>
      </c>
      <c r="C156" s="97" t="s">
        <v>298</v>
      </c>
      <c r="D156" s="108" t="s">
        <v>624</v>
      </c>
      <c r="E156" s="106" t="s">
        <v>625</v>
      </c>
      <c r="F156" s="106" t="str">
        <f t="shared" ref="F156:F174" si="1">E156</f>
        <v>,12-09-2021</v>
      </c>
      <c r="G156" s="100">
        <v>7265346</v>
      </c>
      <c r="H156" s="145">
        <v>13650029.99</v>
      </c>
      <c r="I156" s="145"/>
      <c r="J156" s="153">
        <v>13650029.99</v>
      </c>
      <c r="K156" s="153"/>
      <c r="L156" s="157"/>
      <c r="M156" s="111"/>
    </row>
    <row r="157" spans="1:13" ht="15.75">
      <c r="A157" s="97">
        <v>156</v>
      </c>
      <c r="B157" s="167" t="s">
        <v>626</v>
      </c>
      <c r="C157" s="97" t="s">
        <v>298</v>
      </c>
      <c r="D157" s="108" t="s">
        <v>627</v>
      </c>
      <c r="E157" s="106" t="s">
        <v>628</v>
      </c>
      <c r="F157" s="106" t="str">
        <f t="shared" si="1"/>
        <v>,19-09-2021</v>
      </c>
      <c r="G157" s="100">
        <v>1359454.24</v>
      </c>
      <c r="H157" s="145">
        <v>0</v>
      </c>
      <c r="I157" s="145"/>
      <c r="J157" s="153">
        <v>0</v>
      </c>
      <c r="K157" s="153"/>
      <c r="L157" s="157"/>
      <c r="M157" s="111"/>
    </row>
    <row r="158" spans="1:13" ht="15.75">
      <c r="A158" s="97">
        <v>157</v>
      </c>
      <c r="B158" s="124" t="s">
        <v>614</v>
      </c>
      <c r="C158" s="97" t="s">
        <v>298</v>
      </c>
      <c r="D158" s="108" t="s">
        <v>629</v>
      </c>
      <c r="E158" s="106" t="s">
        <v>630</v>
      </c>
      <c r="F158" s="106" t="str">
        <f t="shared" si="1"/>
        <v>,21-09-2021</v>
      </c>
      <c r="G158" s="100">
        <v>81351012.599999994</v>
      </c>
      <c r="H158" s="145">
        <v>0</v>
      </c>
      <c r="I158" s="145"/>
      <c r="J158" s="153">
        <v>0</v>
      </c>
      <c r="K158" s="153"/>
      <c r="L158" s="125" t="s">
        <v>127</v>
      </c>
      <c r="M158" s="111"/>
    </row>
    <row r="159" spans="1:13" ht="15.75">
      <c r="A159" s="97">
        <v>158</v>
      </c>
      <c r="B159" s="167" t="s">
        <v>631</v>
      </c>
      <c r="C159" s="97" t="s">
        <v>298</v>
      </c>
      <c r="D159" s="108" t="s">
        <v>632</v>
      </c>
      <c r="E159" s="106" t="s">
        <v>633</v>
      </c>
      <c r="F159" s="106" t="str">
        <f t="shared" si="1"/>
        <v>,26-09-2021</v>
      </c>
      <c r="G159" s="100">
        <v>1066690.6299999999</v>
      </c>
      <c r="H159" s="145">
        <v>2752970.24</v>
      </c>
      <c r="I159" s="145"/>
      <c r="J159" s="153">
        <v>2752970.24</v>
      </c>
      <c r="K159" s="153"/>
      <c r="L159" s="157"/>
      <c r="M159" s="111"/>
    </row>
    <row r="160" spans="1:13" ht="15.75">
      <c r="A160" s="97">
        <v>159</v>
      </c>
      <c r="B160" s="168" t="s">
        <v>634</v>
      </c>
      <c r="C160" s="97" t="s">
        <v>298</v>
      </c>
      <c r="D160" s="158" t="s">
        <v>636</v>
      </c>
      <c r="E160" s="71" t="s">
        <v>637</v>
      </c>
      <c r="F160" s="71" t="str">
        <f t="shared" si="1"/>
        <v>,30-09-2021</v>
      </c>
      <c r="G160" s="100">
        <v>40387468.899999999</v>
      </c>
      <c r="H160" s="160">
        <v>40870356</v>
      </c>
      <c r="I160" s="160"/>
      <c r="J160" s="162">
        <v>40870356</v>
      </c>
      <c r="K160" s="162"/>
      <c r="L160" s="161" t="s">
        <v>48</v>
      </c>
      <c r="M160" s="111"/>
    </row>
    <row r="161" spans="1:13" ht="15.75">
      <c r="A161" s="97">
        <v>160</v>
      </c>
      <c r="B161" s="167" t="s">
        <v>620</v>
      </c>
      <c r="C161" s="97" t="s">
        <v>298</v>
      </c>
      <c r="D161" s="108" t="s">
        <v>638</v>
      </c>
      <c r="E161" s="106">
        <v>44503</v>
      </c>
      <c r="F161" s="106">
        <f t="shared" si="1"/>
        <v>44503</v>
      </c>
      <c r="G161" s="100">
        <v>32615589.009999998</v>
      </c>
      <c r="H161" s="145">
        <v>34907769.009999998</v>
      </c>
      <c r="I161" s="145"/>
      <c r="J161" s="153">
        <v>34907769.009999998</v>
      </c>
      <c r="K161" s="153"/>
      <c r="L161" s="157"/>
      <c r="M161" s="111"/>
    </row>
    <row r="162" spans="1:13" ht="15.75">
      <c r="A162" s="97">
        <v>161</v>
      </c>
      <c r="B162" s="167" t="s">
        <v>639</v>
      </c>
      <c r="C162" s="97" t="s">
        <v>298</v>
      </c>
      <c r="D162" s="108" t="s">
        <v>640</v>
      </c>
      <c r="E162" s="106" t="s">
        <v>641</v>
      </c>
      <c r="F162" s="106" t="str">
        <f t="shared" si="1"/>
        <v>,13-01-2022</v>
      </c>
      <c r="G162" s="100">
        <v>56243509.649999999</v>
      </c>
      <c r="H162" s="145">
        <v>66544739.649999999</v>
      </c>
      <c r="I162" s="145"/>
      <c r="J162" s="153">
        <v>66544739.649999999</v>
      </c>
      <c r="K162" s="153"/>
      <c r="L162" s="157"/>
      <c r="M162" s="111"/>
    </row>
    <row r="163" spans="1:13" ht="15.75">
      <c r="A163" s="97">
        <v>162</v>
      </c>
      <c r="B163" s="168" t="s">
        <v>642</v>
      </c>
      <c r="C163" s="97" t="s">
        <v>298</v>
      </c>
      <c r="D163" s="158" t="s">
        <v>643</v>
      </c>
      <c r="E163" s="71" t="s">
        <v>644</v>
      </c>
      <c r="F163" s="71" t="str">
        <f t="shared" si="1"/>
        <v>,18-01-2022</v>
      </c>
      <c r="G163" s="100">
        <v>16314795.18</v>
      </c>
      <c r="H163" s="160">
        <v>17674675.18</v>
      </c>
      <c r="I163" s="160"/>
      <c r="J163" s="162">
        <v>17674675.18</v>
      </c>
      <c r="K163" s="162"/>
      <c r="L163" s="163"/>
      <c r="M163" s="111"/>
    </row>
    <row r="164" spans="1:13" ht="15.75">
      <c r="A164" s="97">
        <v>163</v>
      </c>
      <c r="B164" s="167" t="s">
        <v>645</v>
      </c>
      <c r="C164" s="97" t="s">
        <v>298</v>
      </c>
      <c r="D164" s="108" t="s">
        <v>646</v>
      </c>
      <c r="E164" s="106">
        <v>44600</v>
      </c>
      <c r="F164" s="106">
        <f t="shared" si="1"/>
        <v>44600</v>
      </c>
      <c r="G164" s="100">
        <v>66381868.020000003</v>
      </c>
      <c r="H164" s="145">
        <v>0</v>
      </c>
      <c r="I164" s="145"/>
      <c r="J164" s="153">
        <v>0</v>
      </c>
      <c r="K164" s="153"/>
      <c r="L164" s="157"/>
      <c r="M164" s="111"/>
    </row>
    <row r="165" spans="1:13" ht="15.75">
      <c r="A165" s="97">
        <v>164</v>
      </c>
      <c r="B165" s="167" t="s">
        <v>620</v>
      </c>
      <c r="C165" s="97" t="s">
        <v>298</v>
      </c>
      <c r="D165" s="108" t="s">
        <v>647</v>
      </c>
      <c r="E165" s="106" t="s">
        <v>648</v>
      </c>
      <c r="F165" s="106" t="str">
        <f t="shared" si="1"/>
        <v>,16-02-2022</v>
      </c>
      <c r="G165" s="100">
        <v>1290750</v>
      </c>
      <c r="H165" s="145">
        <v>0</v>
      </c>
      <c r="I165" s="145"/>
      <c r="J165" s="153">
        <v>0</v>
      </c>
      <c r="K165" s="153"/>
      <c r="L165" s="157"/>
      <c r="M165" s="111"/>
    </row>
    <row r="166" spans="1:13" ht="15.75">
      <c r="A166" s="97">
        <v>165</v>
      </c>
      <c r="B166" s="167" t="s">
        <v>649</v>
      </c>
      <c r="C166" s="97" t="s">
        <v>298</v>
      </c>
      <c r="D166" s="111" t="s">
        <v>650</v>
      </c>
      <c r="E166" s="106" t="s">
        <v>651</v>
      </c>
      <c r="F166" s="106" t="str">
        <f t="shared" si="1"/>
        <v>,17-02-2022</v>
      </c>
      <c r="G166" s="100">
        <v>12505811.729999999</v>
      </c>
      <c r="H166" s="145">
        <v>0</v>
      </c>
      <c r="I166" s="145"/>
      <c r="J166" s="153">
        <v>0</v>
      </c>
      <c r="K166" s="153"/>
      <c r="L166" s="157"/>
      <c r="M166" s="111"/>
    </row>
    <row r="167" spans="1:13" ht="15.75">
      <c r="A167" s="97">
        <v>166</v>
      </c>
      <c r="B167" s="169" t="s">
        <v>506</v>
      </c>
      <c r="C167" s="97" t="s">
        <v>298</v>
      </c>
      <c r="D167" s="111" t="s">
        <v>652</v>
      </c>
      <c r="E167" s="106" t="s">
        <v>653</v>
      </c>
      <c r="F167" s="106" t="str">
        <f t="shared" si="1"/>
        <v>,02-03-2022</v>
      </c>
      <c r="G167" s="100">
        <v>3269900</v>
      </c>
      <c r="H167" s="145">
        <v>0</v>
      </c>
      <c r="I167" s="145"/>
      <c r="J167" s="153">
        <v>0</v>
      </c>
      <c r="K167" s="153"/>
      <c r="L167" s="157"/>
      <c r="M167" s="111"/>
    </row>
    <row r="168" spans="1:13" ht="25.5">
      <c r="A168" s="97">
        <v>167</v>
      </c>
      <c r="B168" s="167" t="s">
        <v>654</v>
      </c>
      <c r="C168" s="97" t="s">
        <v>298</v>
      </c>
      <c r="D168" s="111" t="s">
        <v>655</v>
      </c>
      <c r="E168" s="106" t="s">
        <v>656</v>
      </c>
      <c r="F168" s="106" t="str">
        <f t="shared" si="1"/>
        <v>,10-04--2022</v>
      </c>
      <c r="G168" s="100">
        <v>138419059.50999996</v>
      </c>
      <c r="H168" s="145">
        <v>9.9999606609344482E-3</v>
      </c>
      <c r="I168" s="145"/>
      <c r="J168" s="153">
        <v>9.9999606609344482E-3</v>
      </c>
      <c r="K168" s="153"/>
      <c r="L168" s="157"/>
      <c r="M168" s="111"/>
    </row>
    <row r="169" spans="1:13" ht="25.5">
      <c r="A169" s="97">
        <v>168</v>
      </c>
      <c r="B169" s="167" t="s">
        <v>634</v>
      </c>
      <c r="C169" s="97" t="s">
        <v>298</v>
      </c>
      <c r="D169" s="111" t="s">
        <v>657</v>
      </c>
      <c r="E169" s="106" t="s">
        <v>658</v>
      </c>
      <c r="F169" s="106" t="str">
        <f t="shared" si="1"/>
        <v>,25-04--2022</v>
      </c>
      <c r="G169" s="100">
        <v>59322069.640000001</v>
      </c>
      <c r="H169" s="145">
        <v>63122249.640000001</v>
      </c>
      <c r="I169" s="145"/>
      <c r="J169" s="153">
        <v>63122249.640000001</v>
      </c>
      <c r="K169" s="153"/>
      <c r="L169" s="157"/>
      <c r="M169" s="111"/>
    </row>
    <row r="170" spans="1:13" ht="25.5">
      <c r="A170" s="97">
        <v>169</v>
      </c>
      <c r="B170" s="167" t="s">
        <v>659</v>
      </c>
      <c r="C170" s="97" t="s">
        <v>298</v>
      </c>
      <c r="D170" s="111" t="s">
        <v>660</v>
      </c>
      <c r="E170" s="106" t="s">
        <v>658</v>
      </c>
      <c r="F170" s="106" t="str">
        <f t="shared" si="1"/>
        <v>,25-04--2022</v>
      </c>
      <c r="G170" s="100">
        <v>14814210.49</v>
      </c>
      <c r="H170" s="145">
        <v>15276770.490000002</v>
      </c>
      <c r="I170" s="145"/>
      <c r="J170" s="153">
        <v>15276770.490000002</v>
      </c>
      <c r="K170" s="153"/>
      <c r="L170" s="157"/>
      <c r="M170" s="111"/>
    </row>
    <row r="171" spans="1:13" ht="15.75">
      <c r="A171" s="97">
        <v>170</v>
      </c>
      <c r="B171" s="170" t="s">
        <v>642</v>
      </c>
      <c r="C171" s="97" t="s">
        <v>298</v>
      </c>
      <c r="D171" s="111" t="s">
        <v>661</v>
      </c>
      <c r="E171" s="71" t="s">
        <v>662</v>
      </c>
      <c r="F171" s="71" t="str">
        <f t="shared" si="1"/>
        <v>,12-06-2022</v>
      </c>
      <c r="G171" s="100">
        <v>8738030</v>
      </c>
      <c r="H171" s="160">
        <v>5655151</v>
      </c>
      <c r="I171" s="160"/>
      <c r="J171" s="162">
        <v>5655151</v>
      </c>
      <c r="K171" s="162"/>
      <c r="L171" s="163"/>
      <c r="M171" s="111"/>
    </row>
    <row r="172" spans="1:13" ht="15.75">
      <c r="A172" s="97">
        <v>171</v>
      </c>
      <c r="B172" s="168" t="s">
        <v>663</v>
      </c>
      <c r="C172" s="97" t="s">
        <v>298</v>
      </c>
      <c r="D172" s="111" t="s">
        <v>664</v>
      </c>
      <c r="E172" s="106" t="s">
        <v>665</v>
      </c>
      <c r="F172" s="106" t="str">
        <f t="shared" si="1"/>
        <v>,03-08-2022</v>
      </c>
      <c r="G172" s="100">
        <v>47977772.979999997</v>
      </c>
      <c r="H172" s="145">
        <v>38601862.629999995</v>
      </c>
      <c r="I172" s="145"/>
      <c r="J172" s="153"/>
      <c r="K172" s="153"/>
      <c r="L172" s="157"/>
      <c r="M172" s="97"/>
    </row>
    <row r="173" spans="1:13" ht="15.75">
      <c r="A173" s="97">
        <v>172</v>
      </c>
      <c r="B173" s="169" t="s">
        <v>666</v>
      </c>
      <c r="C173" s="97" t="s">
        <v>298</v>
      </c>
      <c r="D173" s="97" t="s">
        <v>667</v>
      </c>
      <c r="E173" s="106" t="s">
        <v>668</v>
      </c>
      <c r="F173" s="106" t="str">
        <f t="shared" si="1"/>
        <v>,21-08-2022</v>
      </c>
      <c r="G173" s="100">
        <v>53250468.449999996</v>
      </c>
      <c r="H173" s="145">
        <v>47487683.449999996</v>
      </c>
      <c r="I173" s="145"/>
      <c r="J173" s="153">
        <v>47487683.449999996</v>
      </c>
      <c r="K173" s="153"/>
      <c r="L173" s="157"/>
      <c r="M173" s="111"/>
    </row>
    <row r="174" spans="1:13" ht="15.75">
      <c r="A174" s="97">
        <v>173</v>
      </c>
      <c r="B174" s="170" t="s">
        <v>669</v>
      </c>
      <c r="C174" s="97" t="s">
        <v>298</v>
      </c>
      <c r="D174" s="111" t="s">
        <v>670</v>
      </c>
      <c r="E174" s="71" t="s">
        <v>671</v>
      </c>
      <c r="F174" s="71" t="str">
        <f t="shared" si="1"/>
        <v>,25-08-2022</v>
      </c>
      <c r="G174" s="100">
        <v>171302540.69999999</v>
      </c>
      <c r="H174" s="160">
        <v>169897940.69999999</v>
      </c>
      <c r="I174" s="160"/>
      <c r="J174" s="162">
        <v>0</v>
      </c>
      <c r="K174" s="162" t="s">
        <v>672</v>
      </c>
      <c r="L174" s="163"/>
      <c r="M174" s="111"/>
    </row>
    <row r="175" spans="1:13" ht="15.75">
      <c r="A175" s="97">
        <v>174</v>
      </c>
      <c r="B175" s="169" t="s">
        <v>663</v>
      </c>
      <c r="C175" s="97" t="s">
        <v>298</v>
      </c>
      <c r="D175" s="111" t="s">
        <v>673</v>
      </c>
      <c r="E175" s="106" t="s">
        <v>674</v>
      </c>
      <c r="F175" s="106" t="s">
        <v>675</v>
      </c>
      <c r="G175" s="100">
        <v>92712395.060000002</v>
      </c>
      <c r="H175" s="145">
        <v>94613005.060000002</v>
      </c>
      <c r="I175" s="145"/>
      <c r="J175" s="153">
        <v>0</v>
      </c>
      <c r="K175" s="153"/>
      <c r="L175" s="157"/>
      <c r="M175" s="111"/>
    </row>
    <row r="176" spans="1:13" ht="31.5">
      <c r="A176" s="97">
        <v>175</v>
      </c>
      <c r="B176" s="169" t="s">
        <v>676</v>
      </c>
      <c r="C176" s="97" t="s">
        <v>298</v>
      </c>
      <c r="D176" s="111" t="s">
        <v>677</v>
      </c>
      <c r="E176" s="106" t="s">
        <v>678</v>
      </c>
      <c r="F176" s="106" t="s">
        <v>679</v>
      </c>
      <c r="G176" s="100">
        <v>169528366.29000002</v>
      </c>
      <c r="H176" s="138">
        <v>148027765.23000002</v>
      </c>
      <c r="I176" s="145"/>
      <c r="J176" s="153">
        <v>148027765.23000002</v>
      </c>
      <c r="K176" s="153"/>
      <c r="L176" s="157"/>
      <c r="M176" s="111"/>
    </row>
    <row r="177" spans="1:13" ht="15.75">
      <c r="A177" s="97">
        <v>176</v>
      </c>
      <c r="B177" s="169" t="s">
        <v>590</v>
      </c>
      <c r="C177" s="97" t="s">
        <v>298</v>
      </c>
      <c r="D177" s="111" t="s">
        <v>680</v>
      </c>
      <c r="E177" s="106" t="s">
        <v>681</v>
      </c>
      <c r="F177" s="106" t="s">
        <v>679</v>
      </c>
      <c r="G177" s="100">
        <v>25671130.519999996</v>
      </c>
      <c r="H177" s="138">
        <v>0</v>
      </c>
      <c r="I177" s="145"/>
      <c r="J177" s="153">
        <v>0</v>
      </c>
      <c r="K177" s="153"/>
      <c r="L177" s="157"/>
      <c r="M177" s="111"/>
    </row>
    <row r="178" spans="1:13" ht="31.5">
      <c r="A178" s="97">
        <v>177</v>
      </c>
      <c r="B178" s="169" t="s">
        <v>682</v>
      </c>
      <c r="C178" s="97" t="s">
        <v>298</v>
      </c>
      <c r="D178" s="111" t="s">
        <v>683</v>
      </c>
      <c r="E178" s="106" t="s">
        <v>684</v>
      </c>
      <c r="F178" s="106" t="str">
        <f t="shared" ref="F178:F196" si="2">E178</f>
        <v>,20-03-2023</v>
      </c>
      <c r="G178" s="100">
        <v>4266662.4000000004</v>
      </c>
      <c r="H178" s="138">
        <v>0</v>
      </c>
      <c r="I178" s="145"/>
      <c r="J178" s="153">
        <v>0</v>
      </c>
      <c r="K178" s="153"/>
      <c r="L178" s="157"/>
      <c r="M178" s="111"/>
    </row>
    <row r="179" spans="1:13" ht="31.5">
      <c r="A179" s="97">
        <v>178</v>
      </c>
      <c r="B179" s="169" t="s">
        <v>620</v>
      </c>
      <c r="C179" s="97" t="s">
        <v>298</v>
      </c>
      <c r="D179" s="111" t="s">
        <v>685</v>
      </c>
      <c r="E179" s="106" t="s">
        <v>686</v>
      </c>
      <c r="F179" s="106" t="str">
        <f t="shared" si="2"/>
        <v>,07-05-2023</v>
      </c>
      <c r="G179" s="100">
        <v>9048787.0999999996</v>
      </c>
      <c r="H179" s="138">
        <v>9173287.0999999996</v>
      </c>
      <c r="I179" s="145"/>
      <c r="J179" s="153">
        <v>9173287.0999999996</v>
      </c>
      <c r="K179" s="153"/>
      <c r="L179" s="157"/>
      <c r="M179" s="111"/>
    </row>
    <row r="180" spans="1:13" ht="15.75">
      <c r="A180" s="97">
        <v>179</v>
      </c>
      <c r="B180" s="170" t="s">
        <v>151</v>
      </c>
      <c r="C180" s="97" t="s">
        <v>298</v>
      </c>
      <c r="D180" s="111" t="s">
        <v>687</v>
      </c>
      <c r="E180" s="71" t="s">
        <v>688</v>
      </c>
      <c r="F180" s="71" t="str">
        <f t="shared" si="2"/>
        <v>,21-05-2023</v>
      </c>
      <c r="G180" s="100">
        <v>48455802.649999999</v>
      </c>
      <c r="H180" s="171">
        <v>48925502.649999999</v>
      </c>
      <c r="I180" s="160"/>
      <c r="J180" s="162">
        <v>0</v>
      </c>
      <c r="K180" s="162"/>
      <c r="L180" s="163"/>
      <c r="M180" s="111"/>
    </row>
    <row r="181" spans="1:13" ht="15.75">
      <c r="A181" s="97">
        <v>180</v>
      </c>
      <c r="B181" s="170" t="s">
        <v>689</v>
      </c>
      <c r="C181" s="97" t="s">
        <v>298</v>
      </c>
      <c r="D181" s="111" t="s">
        <v>690</v>
      </c>
      <c r="E181" s="71" t="s">
        <v>691</v>
      </c>
      <c r="F181" s="71" t="str">
        <f t="shared" si="2"/>
        <v>,22-05-2023</v>
      </c>
      <c r="G181" s="100">
        <v>42817915.07</v>
      </c>
      <c r="H181" s="171">
        <v>17711088.07</v>
      </c>
      <c r="I181" s="160"/>
      <c r="J181" s="162">
        <v>0</v>
      </c>
      <c r="K181" s="162"/>
      <c r="L181" s="163"/>
      <c r="M181" s="111"/>
    </row>
    <row r="182" spans="1:13" ht="15.75">
      <c r="A182" s="97">
        <v>181</v>
      </c>
      <c r="B182" s="169" t="s">
        <v>692</v>
      </c>
      <c r="C182" s="97" t="s">
        <v>298</v>
      </c>
      <c r="D182" s="111" t="s">
        <v>693</v>
      </c>
      <c r="E182" s="106" t="s">
        <v>694</v>
      </c>
      <c r="F182" s="106" t="str">
        <f t="shared" si="2"/>
        <v>,04-06-2023</v>
      </c>
      <c r="G182" s="100">
        <v>10653580</v>
      </c>
      <c r="H182" s="138">
        <v>10196980</v>
      </c>
      <c r="I182" s="145"/>
      <c r="J182" s="153">
        <v>10196980</v>
      </c>
      <c r="K182" s="153"/>
      <c r="L182" s="157"/>
      <c r="M182" s="111"/>
    </row>
    <row r="183" spans="1:13" ht="15.75">
      <c r="A183" s="97">
        <v>182</v>
      </c>
      <c r="B183" s="169" t="s">
        <v>695</v>
      </c>
      <c r="C183" s="97" t="s">
        <v>298</v>
      </c>
      <c r="D183" s="111" t="s">
        <v>696</v>
      </c>
      <c r="E183" s="106" t="s">
        <v>697</v>
      </c>
      <c r="F183" s="106" t="str">
        <f t="shared" si="2"/>
        <v>,14-06-2023</v>
      </c>
      <c r="G183" s="100">
        <v>47776035.799999997</v>
      </c>
      <c r="H183" s="138">
        <v>47979085.799999997</v>
      </c>
      <c r="I183" s="145"/>
      <c r="J183" s="153">
        <v>47979085.799999997</v>
      </c>
      <c r="K183" s="153"/>
      <c r="L183" s="157"/>
      <c r="M183" s="111"/>
    </row>
    <row r="184" spans="1:13" ht="15.75">
      <c r="A184" s="97">
        <v>183</v>
      </c>
      <c r="B184" s="169" t="s">
        <v>676</v>
      </c>
      <c r="C184" s="97" t="s">
        <v>298</v>
      </c>
      <c r="D184" s="111" t="s">
        <v>698</v>
      </c>
      <c r="E184" s="106" t="s">
        <v>699</v>
      </c>
      <c r="F184" s="106" t="str">
        <f t="shared" si="2"/>
        <v>,15-06-2023</v>
      </c>
      <c r="G184" s="100">
        <v>31989319</v>
      </c>
      <c r="H184" s="138">
        <v>32117319</v>
      </c>
      <c r="I184" s="145"/>
      <c r="J184" s="153">
        <v>32117319</v>
      </c>
      <c r="K184" s="153"/>
      <c r="L184" s="157"/>
      <c r="M184" s="111"/>
    </row>
    <row r="185" spans="1:13" ht="15.75">
      <c r="A185" s="97">
        <v>184</v>
      </c>
      <c r="B185" s="170" t="s">
        <v>700</v>
      </c>
      <c r="C185" s="97" t="s">
        <v>298</v>
      </c>
      <c r="D185" s="111" t="s">
        <v>701</v>
      </c>
      <c r="E185" s="71" t="s">
        <v>702</v>
      </c>
      <c r="F185" s="71" t="str">
        <f t="shared" si="2"/>
        <v>,26-07-2023</v>
      </c>
      <c r="G185" s="100">
        <v>19439412.440000001</v>
      </c>
      <c r="H185" s="171">
        <v>12601438.440000001</v>
      </c>
      <c r="I185" s="160"/>
      <c r="J185" s="162">
        <v>12601438.440000001</v>
      </c>
      <c r="K185" s="162"/>
      <c r="L185" s="163" t="s">
        <v>703</v>
      </c>
      <c r="M185" s="111"/>
    </row>
    <row r="186" spans="1:13" ht="15.75">
      <c r="A186" s="97">
        <v>185</v>
      </c>
      <c r="B186" s="172" t="s">
        <v>704</v>
      </c>
      <c r="C186" s="97" t="s">
        <v>298</v>
      </c>
      <c r="D186" s="111" t="s">
        <v>705</v>
      </c>
      <c r="E186" s="71" t="s">
        <v>706</v>
      </c>
      <c r="F186" s="71" t="str">
        <f t="shared" si="2"/>
        <v>,3107-2023</v>
      </c>
      <c r="G186" s="100">
        <v>23821950</v>
      </c>
      <c r="H186" s="171">
        <v>217374216</v>
      </c>
      <c r="I186" s="160"/>
      <c r="J186" s="162">
        <v>217374216</v>
      </c>
      <c r="K186" s="162"/>
      <c r="L186" s="163" t="s">
        <v>707</v>
      </c>
      <c r="M186" s="111"/>
    </row>
    <row r="187" spans="1:13" ht="15.75">
      <c r="A187" s="97">
        <v>186</v>
      </c>
      <c r="B187" s="172" t="s">
        <v>708</v>
      </c>
      <c r="C187" s="97" t="s">
        <v>298</v>
      </c>
      <c r="D187" s="111" t="s">
        <v>709</v>
      </c>
      <c r="E187" s="71" t="s">
        <v>706</v>
      </c>
      <c r="F187" s="71" t="str">
        <f t="shared" si="2"/>
        <v>,3107-2023</v>
      </c>
      <c r="G187" s="100">
        <v>17903250</v>
      </c>
      <c r="H187" s="171">
        <v>204894483.75</v>
      </c>
      <c r="I187" s="160"/>
      <c r="J187" s="162">
        <v>204894483.75</v>
      </c>
      <c r="K187" s="162"/>
      <c r="L187" s="163" t="s">
        <v>710</v>
      </c>
      <c r="M187" s="109"/>
    </row>
    <row r="188" spans="1:13" ht="30">
      <c r="A188" s="97">
        <v>187</v>
      </c>
      <c r="B188" s="173" t="s">
        <v>711</v>
      </c>
      <c r="C188" s="97" t="s">
        <v>298</v>
      </c>
      <c r="D188" s="109" t="s">
        <v>712</v>
      </c>
      <c r="E188" s="174" t="s">
        <v>713</v>
      </c>
      <c r="F188" s="174" t="str">
        <f t="shared" si="2"/>
        <v>,17-08-2023</v>
      </c>
      <c r="G188" s="100">
        <v>173413757.16999999</v>
      </c>
      <c r="H188" s="175">
        <v>783841225.51999986</v>
      </c>
      <c r="I188" s="176"/>
      <c r="J188" s="177">
        <v>783841225.51999986</v>
      </c>
      <c r="K188" s="177">
        <v>24482337.999999881</v>
      </c>
      <c r="L188" s="178"/>
      <c r="M188" s="111"/>
    </row>
    <row r="189" spans="1:13" ht="31.5">
      <c r="A189" s="97">
        <v>188</v>
      </c>
      <c r="B189" s="172" t="s">
        <v>714</v>
      </c>
      <c r="C189" s="97" t="s">
        <v>298</v>
      </c>
      <c r="D189" s="111" t="s">
        <v>715</v>
      </c>
      <c r="E189" s="71" t="s">
        <v>716</v>
      </c>
      <c r="F189" s="71" t="str">
        <f t="shared" si="2"/>
        <v>,21-08-2023</v>
      </c>
      <c r="G189" s="100">
        <v>89169815</v>
      </c>
      <c r="H189" s="171">
        <v>237861390.14000002</v>
      </c>
      <c r="I189" s="160"/>
      <c r="J189" s="162">
        <v>237861390.14000002</v>
      </c>
      <c r="K189" s="162">
        <v>7</v>
      </c>
      <c r="L189" s="163"/>
      <c r="M189" s="111"/>
    </row>
    <row r="190" spans="1:13" ht="31.5">
      <c r="A190" s="97">
        <v>189</v>
      </c>
      <c r="B190" s="172" t="s">
        <v>717</v>
      </c>
      <c r="C190" s="97" t="s">
        <v>298</v>
      </c>
      <c r="D190" s="111" t="s">
        <v>718</v>
      </c>
      <c r="E190" s="71" t="s">
        <v>716</v>
      </c>
      <c r="F190" s="71" t="str">
        <f t="shared" si="2"/>
        <v>,21-08-2023</v>
      </c>
      <c r="G190" s="100">
        <v>16178625</v>
      </c>
      <c r="H190" s="171">
        <v>470982792.28000015</v>
      </c>
      <c r="I190" s="160"/>
      <c r="J190" s="162">
        <v>470982792.28000015</v>
      </c>
      <c r="K190" s="162">
        <v>25323108.090000153</v>
      </c>
      <c r="L190" s="179">
        <f>5000000+1152742+5000000</f>
        <v>11152742</v>
      </c>
      <c r="M190" s="111"/>
    </row>
    <row r="191" spans="1:13" ht="31.5">
      <c r="A191" s="97">
        <v>190</v>
      </c>
      <c r="B191" s="172" t="s">
        <v>719</v>
      </c>
      <c r="C191" s="97" t="s">
        <v>298</v>
      </c>
      <c r="D191" s="111" t="s">
        <v>720</v>
      </c>
      <c r="E191" s="71">
        <v>45181</v>
      </c>
      <c r="F191" s="71">
        <f t="shared" si="2"/>
        <v>45181</v>
      </c>
      <c r="G191" s="100">
        <v>240403556</v>
      </c>
      <c r="H191" s="171">
        <v>240403556</v>
      </c>
      <c r="I191" s="160"/>
      <c r="J191" s="162">
        <v>0</v>
      </c>
      <c r="K191" s="162"/>
      <c r="L191" s="163"/>
      <c r="M191" s="111"/>
    </row>
    <row r="192" spans="1:13" ht="31.5">
      <c r="A192" s="97">
        <v>191</v>
      </c>
      <c r="B192" s="172" t="s">
        <v>721</v>
      </c>
      <c r="C192" s="97" t="s">
        <v>298</v>
      </c>
      <c r="D192" s="111" t="s">
        <v>722</v>
      </c>
      <c r="E192" s="71">
        <v>45222</v>
      </c>
      <c r="F192" s="71">
        <f t="shared" si="2"/>
        <v>45222</v>
      </c>
      <c r="G192" s="100">
        <v>2820974.39</v>
      </c>
      <c r="H192" s="171">
        <v>3151574.39</v>
      </c>
      <c r="I192" s="160"/>
      <c r="J192" s="162">
        <v>3151574.39</v>
      </c>
      <c r="K192" s="162"/>
      <c r="L192" s="163"/>
      <c r="M192" s="111"/>
    </row>
    <row r="193" spans="1:13" ht="31.5">
      <c r="A193" s="97">
        <v>192</v>
      </c>
      <c r="B193" s="172" t="s">
        <v>723</v>
      </c>
      <c r="C193" s="97" t="s">
        <v>298</v>
      </c>
      <c r="D193" s="111" t="s">
        <v>724</v>
      </c>
      <c r="E193" s="71" t="s">
        <v>725</v>
      </c>
      <c r="F193" s="71" t="str">
        <f t="shared" si="2"/>
        <v>31-10-20233</v>
      </c>
      <c r="G193" s="100">
        <v>10044450</v>
      </c>
      <c r="H193" s="171">
        <v>173113423.83000001</v>
      </c>
      <c r="I193" s="160"/>
      <c r="J193" s="162">
        <v>0</v>
      </c>
      <c r="K193" s="162"/>
      <c r="L193" s="163"/>
      <c r="M193" s="111"/>
    </row>
    <row r="194" spans="1:13" ht="31.5">
      <c r="A194" s="97">
        <v>193</v>
      </c>
      <c r="B194" s="172" t="s">
        <v>726</v>
      </c>
      <c r="C194" s="97" t="s">
        <v>298</v>
      </c>
      <c r="D194" s="111" t="s">
        <v>724</v>
      </c>
      <c r="E194" s="71" t="s">
        <v>725</v>
      </c>
      <c r="F194" s="71" t="str">
        <f t="shared" si="2"/>
        <v>31-10-20233</v>
      </c>
      <c r="G194" s="100">
        <v>0</v>
      </c>
      <c r="H194" s="171">
        <v>0</v>
      </c>
      <c r="I194" s="160"/>
      <c r="J194" s="162">
        <v>0</v>
      </c>
      <c r="K194" s="162"/>
      <c r="L194" s="163"/>
      <c r="M194" s="111"/>
    </row>
    <row r="195" spans="1:13" ht="47.25">
      <c r="A195" s="97">
        <v>194</v>
      </c>
      <c r="B195" s="172" t="s">
        <v>727</v>
      </c>
      <c r="C195" s="97" t="s">
        <v>298</v>
      </c>
      <c r="D195" s="111" t="s">
        <v>728</v>
      </c>
      <c r="E195" s="71">
        <v>45386</v>
      </c>
      <c r="F195" s="71">
        <f t="shared" si="2"/>
        <v>45386</v>
      </c>
      <c r="G195" s="100">
        <v>108780024.90000001</v>
      </c>
      <c r="H195" s="171">
        <v>115729664.90000001</v>
      </c>
      <c r="I195" s="160"/>
      <c r="J195" s="162">
        <v>115729664.90000001</v>
      </c>
      <c r="K195" s="162"/>
      <c r="L195" s="163"/>
      <c r="M195" s="111"/>
    </row>
    <row r="196" spans="1:13" ht="31.5">
      <c r="A196" s="97">
        <v>195</v>
      </c>
      <c r="B196" s="172" t="s">
        <v>729</v>
      </c>
      <c r="C196" s="97" t="s">
        <v>298</v>
      </c>
      <c r="D196" s="111" t="s">
        <v>730</v>
      </c>
      <c r="E196" s="71">
        <v>45601</v>
      </c>
      <c r="F196" s="71">
        <f t="shared" si="2"/>
        <v>45601</v>
      </c>
      <c r="G196" s="100">
        <v>3818762</v>
      </c>
      <c r="H196" s="171">
        <v>4323176.2</v>
      </c>
      <c r="I196" s="160"/>
      <c r="J196" s="162">
        <v>4323176.2</v>
      </c>
      <c r="K196" s="162"/>
      <c r="L196" s="163"/>
      <c r="M196" s="111"/>
    </row>
    <row r="197" spans="1:13" ht="15.75">
      <c r="A197" s="97">
        <v>196</v>
      </c>
      <c r="B197" s="180" t="s">
        <v>493</v>
      </c>
      <c r="C197" s="97" t="s">
        <v>298</v>
      </c>
      <c r="D197" s="108" t="s">
        <v>731</v>
      </c>
      <c r="E197" s="106">
        <v>45614</v>
      </c>
      <c r="F197" s="106">
        <v>45614</v>
      </c>
      <c r="G197" s="100">
        <v>47106579.600000001</v>
      </c>
      <c r="H197" s="171">
        <v>47126579.600000001</v>
      </c>
      <c r="I197" s="160"/>
      <c r="J197" s="162">
        <v>47126579.600000001</v>
      </c>
      <c r="K197" s="162"/>
      <c r="L197" s="163"/>
      <c r="M197" s="111"/>
    </row>
    <row r="198" spans="1:13" ht="15.75">
      <c r="A198" s="97">
        <v>197</v>
      </c>
      <c r="B198" s="124" t="s">
        <v>617</v>
      </c>
      <c r="C198" s="97" t="s">
        <v>298</v>
      </c>
      <c r="D198" s="108" t="s">
        <v>732</v>
      </c>
      <c r="E198" s="106">
        <v>45634</v>
      </c>
      <c r="F198" s="106">
        <f>E198</f>
        <v>45634</v>
      </c>
      <c r="G198" s="100">
        <v>106026552</v>
      </c>
      <c r="H198" s="145">
        <v>290517500.88999999</v>
      </c>
      <c r="I198" s="145"/>
      <c r="J198" s="153">
        <v>290517500.88999999</v>
      </c>
      <c r="K198" s="153"/>
      <c r="L198" s="163"/>
      <c r="M198" s="111"/>
    </row>
    <row r="199" spans="1:13" ht="15.75">
      <c r="A199" s="97">
        <v>198</v>
      </c>
      <c r="B199" s="124" t="s">
        <v>733</v>
      </c>
      <c r="C199" s="97" t="s">
        <v>298</v>
      </c>
      <c r="D199" s="108" t="s">
        <v>734</v>
      </c>
      <c r="E199" s="106">
        <v>45636</v>
      </c>
      <c r="F199" s="106">
        <v>45636</v>
      </c>
      <c r="G199" s="100">
        <v>12919512</v>
      </c>
      <c r="H199" s="145">
        <v>12939512</v>
      </c>
      <c r="I199" s="145"/>
      <c r="J199" s="153">
        <v>12939512</v>
      </c>
      <c r="K199" s="153"/>
      <c r="L199" s="163"/>
      <c r="M199" s="111"/>
    </row>
    <row r="200" spans="1:13">
      <c r="A200" s="97">
        <v>199</v>
      </c>
      <c r="B200" s="181" t="s">
        <v>735</v>
      </c>
      <c r="C200" s="97" t="s">
        <v>298</v>
      </c>
      <c r="D200" s="108" t="s">
        <v>736</v>
      </c>
      <c r="E200" s="106">
        <v>45644</v>
      </c>
      <c r="F200" s="106">
        <f>E200</f>
        <v>45644</v>
      </c>
      <c r="G200" s="100">
        <v>36853084</v>
      </c>
      <c r="H200" s="145">
        <v>36523084</v>
      </c>
      <c r="I200" s="145"/>
      <c r="J200" s="153">
        <v>36523084</v>
      </c>
      <c r="K200" s="153"/>
      <c r="L200" s="163"/>
    </row>
    <row r="201" spans="1:13">
      <c r="B201" s="100" t="s">
        <v>957</v>
      </c>
      <c r="C201" s="100" t="s">
        <v>965</v>
      </c>
      <c r="D201" s="100" t="s">
        <v>959</v>
      </c>
      <c r="E201" s="100" t="s">
        <v>960</v>
      </c>
      <c r="F201" s="100" t="s">
        <v>960</v>
      </c>
      <c r="G201" s="100">
        <v>11806000</v>
      </c>
      <c r="H201" s="100">
        <v>12190896</v>
      </c>
      <c r="J201" s="100">
        <v>12190896</v>
      </c>
      <c r="M201" s="100" t="s">
        <v>958</v>
      </c>
    </row>
    <row r="202" spans="1:13">
      <c r="B202" s="100" t="s">
        <v>961</v>
      </c>
      <c r="C202" s="100" t="s">
        <v>965</v>
      </c>
      <c r="D202" s="100" t="s">
        <v>963</v>
      </c>
      <c r="E202" s="100" t="s">
        <v>964</v>
      </c>
      <c r="F202" s="100" t="s">
        <v>964</v>
      </c>
      <c r="G202" s="100">
        <v>1135427086.6700001</v>
      </c>
      <c r="H202" s="100">
        <v>1152994086.6700001</v>
      </c>
      <c r="J202" s="100">
        <v>1152994086.6700001</v>
      </c>
      <c r="M202" s="100" t="s">
        <v>962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2:F78"/>
  <sheetViews>
    <sheetView workbookViewId="0">
      <selection activeCell="D74" sqref="D74"/>
    </sheetView>
  </sheetViews>
  <sheetFormatPr defaultRowHeight="15"/>
  <cols>
    <col min="1" max="1" width="43" bestFit="1" customWidth="1"/>
  </cols>
  <sheetData>
    <row r="2" spans="1:4">
      <c r="A2" t="s">
        <v>3030</v>
      </c>
      <c r="B2" t="s">
        <v>1121</v>
      </c>
    </row>
    <row r="3" spans="1:4">
      <c r="A3" t="s">
        <v>3031</v>
      </c>
      <c r="B3" t="s">
        <v>298</v>
      </c>
    </row>
    <row r="4" spans="1:4">
      <c r="A4" t="s">
        <v>3032</v>
      </c>
      <c r="B4" t="s">
        <v>298</v>
      </c>
    </row>
    <row r="5" spans="1:4">
      <c r="A5" t="s">
        <v>3033</v>
      </c>
      <c r="B5" t="s">
        <v>298</v>
      </c>
    </row>
    <row r="6" spans="1:4">
      <c r="A6" s="229" t="s">
        <v>2218</v>
      </c>
    </row>
    <row r="7" spans="1:4">
      <c r="A7" s="229"/>
    </row>
    <row r="8" spans="1:4">
      <c r="A8" s="229" t="s">
        <v>3034</v>
      </c>
      <c r="B8" t="s">
        <v>298</v>
      </c>
    </row>
    <row r="9" spans="1:4">
      <c r="A9" s="229" t="s">
        <v>3096</v>
      </c>
    </row>
    <row r="10" spans="1:4">
      <c r="A10" s="229" t="s">
        <v>3035</v>
      </c>
      <c r="B10" t="s">
        <v>298</v>
      </c>
    </row>
    <row r="11" spans="1:4">
      <c r="A11" s="229" t="s">
        <v>2219</v>
      </c>
    </row>
    <row r="12" spans="1:4">
      <c r="A12" s="229" t="s">
        <v>2220</v>
      </c>
    </row>
    <row r="13" spans="1:4">
      <c r="A13" s="229" t="s">
        <v>2221</v>
      </c>
    </row>
    <row r="14" spans="1:4">
      <c r="A14" s="229" t="s">
        <v>2222</v>
      </c>
    </row>
    <row r="15" spans="1:4">
      <c r="A15" s="229" t="s">
        <v>3036</v>
      </c>
      <c r="B15" s="237">
        <v>43040</v>
      </c>
      <c r="C15" t="s">
        <v>3037</v>
      </c>
      <c r="D15" t="s">
        <v>298</v>
      </c>
    </row>
    <row r="16" spans="1:4">
      <c r="A16" s="229" t="s">
        <v>3038</v>
      </c>
      <c r="B16">
        <v>15</v>
      </c>
      <c r="C16" t="s">
        <v>3039</v>
      </c>
    </row>
    <row r="17" spans="1:3">
      <c r="A17" s="229" t="s">
        <v>3040</v>
      </c>
      <c r="B17" s="237">
        <v>42826</v>
      </c>
      <c r="C17" t="s">
        <v>3041</v>
      </c>
    </row>
    <row r="18" spans="1:3">
      <c r="A18" t="s">
        <v>3042</v>
      </c>
    </row>
    <row r="19" spans="1:3">
      <c r="A19" t="s">
        <v>3043</v>
      </c>
    </row>
    <row r="20" spans="1:3">
      <c r="A20" s="229" t="s">
        <v>3097</v>
      </c>
      <c r="B20" t="s">
        <v>1121</v>
      </c>
    </row>
    <row r="21" spans="1:3">
      <c r="A21" s="229" t="s">
        <v>3044</v>
      </c>
      <c r="B21" t="s">
        <v>298</v>
      </c>
    </row>
    <row r="22" spans="1:3">
      <c r="A22" s="229" t="s">
        <v>3045</v>
      </c>
      <c r="B22" t="s">
        <v>298</v>
      </c>
    </row>
    <row r="23" spans="1:3">
      <c r="A23" s="229" t="s">
        <v>3046</v>
      </c>
      <c r="B23" t="s">
        <v>3047</v>
      </c>
    </row>
    <row r="24" spans="1:3">
      <c r="A24" t="s">
        <v>3048</v>
      </c>
    </row>
    <row r="25" spans="1:3">
      <c r="A25" t="s">
        <v>2122</v>
      </c>
    </row>
    <row r="26" spans="1:3">
      <c r="A26" t="s">
        <v>2123</v>
      </c>
    </row>
    <row r="27" spans="1:3">
      <c r="A27" t="s">
        <v>2125</v>
      </c>
    </row>
    <row r="28" spans="1:3">
      <c r="A28" t="s">
        <v>3049</v>
      </c>
      <c r="C28" t="s">
        <v>3050</v>
      </c>
    </row>
    <row r="29" spans="1:3">
      <c r="A29" t="s">
        <v>3051</v>
      </c>
      <c r="C29" t="s">
        <v>298</v>
      </c>
    </row>
    <row r="30" spans="1:3">
      <c r="A30" s="229" t="s">
        <v>3052</v>
      </c>
      <c r="B30" t="s">
        <v>298</v>
      </c>
    </row>
    <row r="31" spans="1:3">
      <c r="A31" s="229" t="s">
        <v>3053</v>
      </c>
      <c r="B31" t="s">
        <v>298</v>
      </c>
    </row>
    <row r="32" spans="1:3">
      <c r="A32" t="s">
        <v>3054</v>
      </c>
    </row>
    <row r="33" spans="1:3">
      <c r="A33" t="s">
        <v>3055</v>
      </c>
    </row>
    <row r="34" spans="1:3">
      <c r="A34" t="s">
        <v>3056</v>
      </c>
    </row>
    <row r="35" spans="1:3">
      <c r="A35" s="229" t="s">
        <v>2223</v>
      </c>
    </row>
    <row r="36" spans="1:3">
      <c r="A36" t="s">
        <v>3057</v>
      </c>
    </row>
    <row r="37" spans="1:3">
      <c r="A37" t="s">
        <v>3058</v>
      </c>
      <c r="C37" t="s">
        <v>1121</v>
      </c>
    </row>
    <row r="38" spans="1:3">
      <c r="A38" t="s">
        <v>3059</v>
      </c>
      <c r="C38" t="s">
        <v>298</v>
      </c>
    </row>
    <row r="39" spans="1:3">
      <c r="A39" s="229" t="s">
        <v>3060</v>
      </c>
      <c r="B39" t="s">
        <v>3061</v>
      </c>
    </row>
    <row r="40" spans="1:3">
      <c r="A40" s="229" t="s">
        <v>2224</v>
      </c>
    </row>
    <row r="41" spans="1:3">
      <c r="A41" s="229" t="s">
        <v>2225</v>
      </c>
    </row>
    <row r="42" spans="1:3">
      <c r="A42" s="229" t="s">
        <v>2226</v>
      </c>
    </row>
    <row r="43" spans="1:3">
      <c r="A43" t="s">
        <v>3062</v>
      </c>
    </row>
    <row r="44" spans="1:3">
      <c r="A44" t="s">
        <v>2165</v>
      </c>
      <c r="C44" t="s">
        <v>3063</v>
      </c>
    </row>
    <row r="45" spans="1:3">
      <c r="A45" t="s">
        <v>3064</v>
      </c>
    </row>
    <row r="46" spans="1:3">
      <c r="A46" t="s">
        <v>2168</v>
      </c>
    </row>
    <row r="47" spans="1:3">
      <c r="A47" t="s">
        <v>2170</v>
      </c>
      <c r="C47" t="s">
        <v>298</v>
      </c>
    </row>
    <row r="48" spans="1:3">
      <c r="A48" t="s">
        <v>3065</v>
      </c>
      <c r="C48" t="s">
        <v>3066</v>
      </c>
    </row>
    <row r="49" spans="1:4">
      <c r="A49" t="s">
        <v>3067</v>
      </c>
      <c r="C49" t="s">
        <v>3068</v>
      </c>
    </row>
    <row r="50" spans="1:4">
      <c r="A50" t="s">
        <v>3069</v>
      </c>
      <c r="C50" t="s">
        <v>3070</v>
      </c>
    </row>
    <row r="51" spans="1:4">
      <c r="A51" t="s">
        <v>3071</v>
      </c>
      <c r="C51">
        <v>20</v>
      </c>
      <c r="D51" t="s">
        <v>3072</v>
      </c>
    </row>
    <row r="52" spans="1:4">
      <c r="A52" s="229" t="s">
        <v>3073</v>
      </c>
      <c r="B52">
        <v>8</v>
      </c>
      <c r="C52" t="s">
        <v>3074</v>
      </c>
    </row>
    <row r="53" spans="1:4">
      <c r="A53" s="229" t="s">
        <v>2227</v>
      </c>
    </row>
    <row r="54" spans="1:4">
      <c r="A54" s="229" t="s">
        <v>3075</v>
      </c>
      <c r="B54" t="s">
        <v>3076</v>
      </c>
    </row>
    <row r="55" spans="1:4">
      <c r="A55" s="229" t="s">
        <v>2228</v>
      </c>
    </row>
    <row r="56" spans="1:4">
      <c r="A56" s="229" t="s">
        <v>2229</v>
      </c>
    </row>
    <row r="57" spans="1:4">
      <c r="A57" s="229" t="s">
        <v>3077</v>
      </c>
      <c r="B57" s="237">
        <v>45231</v>
      </c>
      <c r="C57" t="s">
        <v>3078</v>
      </c>
      <c r="D57" t="s">
        <v>3079</v>
      </c>
    </row>
    <row r="58" spans="1:4">
      <c r="A58" s="229" t="s">
        <v>3080</v>
      </c>
      <c r="B58" t="s">
        <v>3081</v>
      </c>
    </row>
    <row r="59" spans="1:4">
      <c r="A59" s="229" t="s">
        <v>3082</v>
      </c>
      <c r="B59" t="s">
        <v>3083</v>
      </c>
    </row>
    <row r="60" spans="1:4">
      <c r="A60" s="229"/>
      <c r="B60" t="s">
        <v>3084</v>
      </c>
      <c r="C60" t="s">
        <v>3085</v>
      </c>
    </row>
    <row r="61" spans="1:4">
      <c r="A61" s="229" t="s">
        <v>2230</v>
      </c>
    </row>
    <row r="62" spans="1:4">
      <c r="A62" s="229" t="s">
        <v>2231</v>
      </c>
    </row>
    <row r="63" spans="1:4">
      <c r="A63" s="229"/>
      <c r="B63" t="s">
        <v>3086</v>
      </c>
    </row>
    <row r="64" spans="1:4">
      <c r="A64" s="229"/>
      <c r="B64" t="s">
        <v>3087</v>
      </c>
    </row>
    <row r="65" spans="1:6">
      <c r="A65" s="229"/>
      <c r="B65" t="s">
        <v>2520</v>
      </c>
      <c r="C65" t="s">
        <v>3088</v>
      </c>
      <c r="D65" s="237">
        <v>44013</v>
      </c>
    </row>
    <row r="66" spans="1:6">
      <c r="A66" s="229" t="s">
        <v>2238</v>
      </c>
    </row>
    <row r="67" spans="1:6">
      <c r="A67" s="229" t="s">
        <v>2237</v>
      </c>
    </row>
    <row r="68" spans="1:6">
      <c r="A68" s="229" t="s">
        <v>2236</v>
      </c>
    </row>
    <row r="69" spans="1:6">
      <c r="A69" s="229" t="s">
        <v>2235</v>
      </c>
    </row>
    <row r="70" spans="1:6">
      <c r="A70" s="229" t="s">
        <v>2233</v>
      </c>
    </row>
    <row r="71" spans="1:6">
      <c r="A71" s="229" t="s">
        <v>2232</v>
      </c>
    </row>
    <row r="72" spans="1:6">
      <c r="A72" s="229" t="s">
        <v>3098</v>
      </c>
      <c r="C72" t="s">
        <v>3089</v>
      </c>
      <c r="D72" t="s">
        <v>3090</v>
      </c>
      <c r="E72" s="237">
        <v>44652</v>
      </c>
      <c r="F72" t="s">
        <v>3091</v>
      </c>
    </row>
    <row r="73" spans="1:6">
      <c r="A73" t="s">
        <v>2206</v>
      </c>
    </row>
    <row r="74" spans="1:6">
      <c r="A74" t="s">
        <v>3092</v>
      </c>
      <c r="B74" t="s">
        <v>298</v>
      </c>
    </row>
    <row r="75" spans="1:6">
      <c r="A75" s="229"/>
    </row>
    <row r="76" spans="1:6">
      <c r="A76" t="s">
        <v>3093</v>
      </c>
    </row>
    <row r="77" spans="1:6">
      <c r="A77" t="s">
        <v>3094</v>
      </c>
    </row>
    <row r="78" spans="1:6">
      <c r="A78" t="s">
        <v>3095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0"/>
  <sheetViews>
    <sheetView topLeftCell="A191" workbookViewId="0">
      <selection sqref="A1:B200"/>
    </sheetView>
  </sheetViews>
  <sheetFormatPr defaultRowHeight="15"/>
  <cols>
    <col min="2" max="2" width="37" bestFit="1" customWidth="1"/>
  </cols>
  <sheetData>
    <row r="1" spans="1:2">
      <c r="A1" s="95" t="s">
        <v>175</v>
      </c>
      <c r="B1" s="95" t="s">
        <v>176</v>
      </c>
    </row>
    <row r="2" spans="1:2">
      <c r="A2" s="97">
        <v>1</v>
      </c>
      <c r="B2" s="98" t="s">
        <v>299</v>
      </c>
    </row>
    <row r="3" spans="1:2">
      <c r="A3" s="97">
        <v>2</v>
      </c>
      <c r="B3" s="98" t="s">
        <v>302</v>
      </c>
    </row>
    <row r="4" spans="1:2">
      <c r="A4" s="97">
        <v>3</v>
      </c>
      <c r="B4" s="98" t="s">
        <v>302</v>
      </c>
    </row>
    <row r="5" spans="1:2">
      <c r="A5" s="97">
        <v>4</v>
      </c>
      <c r="B5" s="98" t="s">
        <v>302</v>
      </c>
    </row>
    <row r="6" spans="1:2">
      <c r="A6" s="97">
        <v>5</v>
      </c>
      <c r="B6" s="98" t="s">
        <v>302</v>
      </c>
    </row>
    <row r="7" spans="1:2">
      <c r="A7" s="97">
        <v>6</v>
      </c>
      <c r="B7" s="98" t="s">
        <v>302</v>
      </c>
    </row>
    <row r="8" spans="1:2">
      <c r="A8" s="97">
        <v>7</v>
      </c>
      <c r="B8" s="98" t="s">
        <v>302</v>
      </c>
    </row>
    <row r="9" spans="1:2">
      <c r="A9" s="97">
        <v>8</v>
      </c>
      <c r="B9" s="98" t="s">
        <v>302</v>
      </c>
    </row>
    <row r="10" spans="1:2">
      <c r="A10" s="97">
        <v>9</v>
      </c>
      <c r="B10" s="98" t="s">
        <v>302</v>
      </c>
    </row>
    <row r="11" spans="1:2">
      <c r="A11" s="97">
        <v>10</v>
      </c>
      <c r="B11" s="98" t="s">
        <v>302</v>
      </c>
    </row>
    <row r="12" spans="1:2">
      <c r="A12" s="97">
        <v>11</v>
      </c>
      <c r="B12" s="98" t="s">
        <v>302</v>
      </c>
    </row>
    <row r="13" spans="1:2">
      <c r="A13" s="97">
        <v>12</v>
      </c>
      <c r="B13" s="98" t="s">
        <v>302</v>
      </c>
    </row>
    <row r="14" spans="1:2">
      <c r="A14" s="97">
        <v>13</v>
      </c>
      <c r="B14" s="98" t="s">
        <v>302</v>
      </c>
    </row>
    <row r="15" spans="1:2">
      <c r="A15" s="97">
        <v>14</v>
      </c>
      <c r="B15" s="98" t="s">
        <v>302</v>
      </c>
    </row>
    <row r="16" spans="1:2">
      <c r="A16" s="97">
        <v>15</v>
      </c>
      <c r="B16" s="98" t="s">
        <v>325</v>
      </c>
    </row>
    <row r="17" spans="1:2">
      <c r="A17" s="97">
        <v>16</v>
      </c>
      <c r="B17" s="98" t="s">
        <v>328</v>
      </c>
    </row>
    <row r="18" spans="1:2">
      <c r="A18" s="97">
        <v>17</v>
      </c>
      <c r="B18" s="98" t="s">
        <v>328</v>
      </c>
    </row>
    <row r="19" spans="1:2">
      <c r="A19" s="97">
        <v>18</v>
      </c>
      <c r="B19" s="98" t="s">
        <v>328</v>
      </c>
    </row>
    <row r="20" spans="1:2">
      <c r="A20" s="97">
        <v>19</v>
      </c>
      <c r="B20" s="98" t="s">
        <v>328</v>
      </c>
    </row>
    <row r="21" spans="1:2">
      <c r="A21" s="97">
        <v>20</v>
      </c>
      <c r="B21" s="98" t="s">
        <v>328</v>
      </c>
    </row>
    <row r="22" spans="1:2">
      <c r="A22" s="97">
        <v>21</v>
      </c>
      <c r="B22" s="98" t="s">
        <v>328</v>
      </c>
    </row>
    <row r="23" spans="1:2">
      <c r="A23" s="97">
        <v>22</v>
      </c>
      <c r="B23" s="98" t="s">
        <v>328</v>
      </c>
    </row>
    <row r="24" spans="1:2">
      <c r="A24" s="97">
        <v>23</v>
      </c>
      <c r="B24" s="98" t="s">
        <v>328</v>
      </c>
    </row>
    <row r="25" spans="1:2">
      <c r="A25" s="97">
        <v>24</v>
      </c>
      <c r="B25" s="98" t="s">
        <v>342</v>
      </c>
    </row>
    <row r="26" spans="1:2">
      <c r="A26" s="97">
        <v>25</v>
      </c>
      <c r="B26" s="98" t="s">
        <v>344</v>
      </c>
    </row>
    <row r="27" spans="1:2">
      <c r="A27" s="97">
        <v>26</v>
      </c>
      <c r="B27" s="98" t="s">
        <v>344</v>
      </c>
    </row>
    <row r="28" spans="1:2">
      <c r="A28" s="97">
        <v>27</v>
      </c>
      <c r="B28" s="98" t="s">
        <v>349</v>
      </c>
    </row>
    <row r="29" spans="1:2">
      <c r="A29" s="97">
        <v>28</v>
      </c>
      <c r="B29" s="98" t="s">
        <v>352</v>
      </c>
    </row>
    <row r="30" spans="1:2">
      <c r="A30" s="97">
        <v>29</v>
      </c>
      <c r="B30" s="98" t="s">
        <v>355</v>
      </c>
    </row>
    <row r="31" spans="1:2">
      <c r="A31" s="97">
        <v>30</v>
      </c>
      <c r="B31" s="98" t="s">
        <v>358</v>
      </c>
    </row>
    <row r="32" spans="1:2">
      <c r="A32" s="97">
        <v>31</v>
      </c>
      <c r="B32" s="98" t="s">
        <v>361</v>
      </c>
    </row>
    <row r="33" spans="1:2">
      <c r="A33" s="97">
        <v>32</v>
      </c>
      <c r="B33" s="98" t="s">
        <v>364</v>
      </c>
    </row>
    <row r="34" spans="1:2">
      <c r="A34" s="97">
        <v>33</v>
      </c>
      <c r="B34" s="98" t="s">
        <v>367</v>
      </c>
    </row>
    <row r="35" spans="1:2">
      <c r="A35" s="97">
        <v>34</v>
      </c>
      <c r="B35" s="98" t="s">
        <v>367</v>
      </c>
    </row>
    <row r="36" spans="1:2">
      <c r="A36" s="97">
        <v>35</v>
      </c>
      <c r="B36" s="98" t="s">
        <v>372</v>
      </c>
    </row>
    <row r="37" spans="1:2">
      <c r="A37" s="97">
        <v>36</v>
      </c>
      <c r="B37" s="98" t="s">
        <v>372</v>
      </c>
    </row>
    <row r="38" spans="1:2">
      <c r="A38" s="97">
        <v>37</v>
      </c>
      <c r="B38" s="98" t="s">
        <v>372</v>
      </c>
    </row>
    <row r="39" spans="1:2">
      <c r="A39" s="97">
        <v>38</v>
      </c>
      <c r="B39" s="98" t="s">
        <v>377</v>
      </c>
    </row>
    <row r="40" spans="1:2">
      <c r="A40" s="97">
        <v>39</v>
      </c>
      <c r="B40" s="98" t="s">
        <v>377</v>
      </c>
    </row>
    <row r="41" spans="1:2">
      <c r="A41" s="97">
        <v>40</v>
      </c>
      <c r="B41" s="98" t="s">
        <v>377</v>
      </c>
    </row>
    <row r="42" spans="1:2">
      <c r="A42" s="97">
        <v>41</v>
      </c>
      <c r="B42" s="98" t="s">
        <v>377</v>
      </c>
    </row>
    <row r="43" spans="1:2">
      <c r="A43" s="97">
        <v>42</v>
      </c>
      <c r="B43" s="98" t="s">
        <v>377</v>
      </c>
    </row>
    <row r="44" spans="1:2">
      <c r="A44" s="97">
        <v>43</v>
      </c>
      <c r="B44" s="98" t="s">
        <v>377</v>
      </c>
    </row>
    <row r="45" spans="1:2">
      <c r="A45" s="97">
        <v>44</v>
      </c>
      <c r="B45" s="98" t="s">
        <v>377</v>
      </c>
    </row>
    <row r="46" spans="1:2">
      <c r="A46" s="97">
        <v>45</v>
      </c>
      <c r="B46" s="98" t="s">
        <v>389</v>
      </c>
    </row>
    <row r="47" spans="1:2">
      <c r="A47" s="97">
        <v>46</v>
      </c>
      <c r="B47" s="98" t="s">
        <v>392</v>
      </c>
    </row>
    <row r="48" spans="1:2">
      <c r="A48" s="97">
        <v>47</v>
      </c>
      <c r="B48" s="98" t="s">
        <v>395</v>
      </c>
    </row>
    <row r="49" spans="1:2">
      <c r="A49" s="97">
        <v>48</v>
      </c>
      <c r="B49" s="98" t="s">
        <v>397</v>
      </c>
    </row>
    <row r="50" spans="1:2">
      <c r="A50" s="97">
        <v>49</v>
      </c>
      <c r="B50" s="98" t="s">
        <v>397</v>
      </c>
    </row>
    <row r="51" spans="1:2">
      <c r="A51" s="97">
        <v>50</v>
      </c>
      <c r="B51" s="98" t="s">
        <v>402</v>
      </c>
    </row>
    <row r="52" spans="1:2">
      <c r="A52" s="97">
        <v>51</v>
      </c>
      <c r="B52" s="98" t="s">
        <v>405</v>
      </c>
    </row>
    <row r="53" spans="1:2">
      <c r="A53" s="97">
        <v>52</v>
      </c>
      <c r="B53" s="98" t="s">
        <v>405</v>
      </c>
    </row>
    <row r="54" spans="1:2">
      <c r="A54" s="97">
        <v>53</v>
      </c>
      <c r="B54" s="98" t="s">
        <v>410</v>
      </c>
    </row>
    <row r="55" spans="1:2">
      <c r="A55" s="97">
        <v>54</v>
      </c>
      <c r="B55" s="98" t="s">
        <v>412</v>
      </c>
    </row>
    <row r="56" spans="1:2">
      <c r="A56" s="97">
        <v>55</v>
      </c>
      <c r="B56" s="98" t="s">
        <v>412</v>
      </c>
    </row>
    <row r="57" spans="1:2">
      <c r="A57" s="97">
        <v>56</v>
      </c>
      <c r="B57" s="98" t="s">
        <v>412</v>
      </c>
    </row>
    <row r="58" spans="1:2">
      <c r="A58" s="97">
        <v>57</v>
      </c>
      <c r="B58" s="98" t="s">
        <v>412</v>
      </c>
    </row>
    <row r="59" spans="1:2">
      <c r="A59" s="97">
        <v>58</v>
      </c>
      <c r="B59" s="98" t="s">
        <v>412</v>
      </c>
    </row>
    <row r="60" spans="1:2">
      <c r="A60" s="97">
        <v>59</v>
      </c>
      <c r="B60" s="98" t="s">
        <v>412</v>
      </c>
    </row>
    <row r="61" spans="1:2">
      <c r="A61" s="97">
        <v>60</v>
      </c>
      <c r="B61" s="98" t="s">
        <v>423</v>
      </c>
    </row>
    <row r="62" spans="1:2">
      <c r="A62" s="97">
        <v>61</v>
      </c>
      <c r="B62" s="98" t="s">
        <v>423</v>
      </c>
    </row>
    <row r="63" spans="1:2">
      <c r="A63" s="97">
        <v>62</v>
      </c>
      <c r="B63" s="98" t="s">
        <v>423</v>
      </c>
    </row>
    <row r="64" spans="1:2">
      <c r="A64" s="97">
        <v>63</v>
      </c>
      <c r="B64" s="98" t="s">
        <v>423</v>
      </c>
    </row>
    <row r="65" spans="1:2">
      <c r="A65" s="97">
        <v>64</v>
      </c>
      <c r="B65" s="98" t="s">
        <v>430</v>
      </c>
    </row>
    <row r="66" spans="1:2">
      <c r="A66" s="97">
        <v>65</v>
      </c>
      <c r="B66" s="98" t="s">
        <v>432</v>
      </c>
    </row>
    <row r="67" spans="1:2">
      <c r="A67" s="97">
        <v>66</v>
      </c>
      <c r="B67" s="98" t="s">
        <v>432</v>
      </c>
    </row>
    <row r="68" spans="1:2">
      <c r="A68" s="97">
        <v>67</v>
      </c>
      <c r="B68" s="98" t="s">
        <v>432</v>
      </c>
    </row>
    <row r="69" spans="1:2">
      <c r="A69" s="97">
        <v>68</v>
      </c>
      <c r="B69" s="98" t="s">
        <v>432</v>
      </c>
    </row>
    <row r="70" spans="1:2">
      <c r="A70" s="97">
        <v>69</v>
      </c>
      <c r="B70" s="98" t="s">
        <v>440</v>
      </c>
    </row>
    <row r="71" spans="1:2">
      <c r="A71" s="97">
        <v>70</v>
      </c>
      <c r="B71" s="98" t="s">
        <v>442</v>
      </c>
    </row>
    <row r="72" spans="1:2">
      <c r="A72" s="97">
        <v>71</v>
      </c>
      <c r="B72" s="98" t="s">
        <v>442</v>
      </c>
    </row>
    <row r="73" spans="1:2">
      <c r="A73" s="97">
        <v>72</v>
      </c>
      <c r="B73" s="98" t="s">
        <v>445</v>
      </c>
    </row>
    <row r="74" spans="1:2">
      <c r="A74" s="97">
        <v>73</v>
      </c>
      <c r="B74" s="98" t="s">
        <v>445</v>
      </c>
    </row>
    <row r="75" spans="1:2">
      <c r="A75" s="97">
        <v>74</v>
      </c>
      <c r="B75" s="98" t="s">
        <v>448</v>
      </c>
    </row>
    <row r="76" spans="1:2">
      <c r="A76" s="97">
        <v>75</v>
      </c>
      <c r="B76" s="98" t="s">
        <v>448</v>
      </c>
    </row>
    <row r="77" spans="1:2">
      <c r="A77" s="97">
        <v>76</v>
      </c>
      <c r="B77" s="98" t="s">
        <v>448</v>
      </c>
    </row>
    <row r="78" spans="1:2">
      <c r="A78" s="97">
        <v>77</v>
      </c>
      <c r="B78" s="98" t="s">
        <v>452</v>
      </c>
    </row>
    <row r="79" spans="1:2">
      <c r="A79" s="97">
        <v>78</v>
      </c>
      <c r="B79" s="98" t="s">
        <v>455</v>
      </c>
    </row>
    <row r="80" spans="1:2">
      <c r="A80" s="97">
        <v>79</v>
      </c>
      <c r="B80" s="98" t="s">
        <v>455</v>
      </c>
    </row>
    <row r="81" spans="1:2">
      <c r="A81" s="97">
        <v>80</v>
      </c>
      <c r="B81" s="98" t="s">
        <v>458</v>
      </c>
    </row>
    <row r="82" spans="1:2">
      <c r="A82" s="97">
        <v>81</v>
      </c>
      <c r="B82" s="98" t="s">
        <v>461</v>
      </c>
    </row>
    <row r="83" spans="1:2">
      <c r="A83" s="97">
        <v>82</v>
      </c>
      <c r="B83" s="98" t="s">
        <v>461</v>
      </c>
    </row>
    <row r="84" spans="1:2">
      <c r="A84" s="97">
        <v>83</v>
      </c>
      <c r="B84" s="98" t="s">
        <v>461</v>
      </c>
    </row>
    <row r="85" spans="1:2">
      <c r="A85" s="97">
        <v>84</v>
      </c>
      <c r="B85" s="98" t="s">
        <v>468</v>
      </c>
    </row>
    <row r="86" spans="1:2">
      <c r="A86" s="97">
        <v>85</v>
      </c>
      <c r="B86" s="98" t="s">
        <v>468</v>
      </c>
    </row>
    <row r="87" spans="1:2">
      <c r="A87" s="97">
        <v>86</v>
      </c>
      <c r="B87" s="98" t="s">
        <v>468</v>
      </c>
    </row>
    <row r="88" spans="1:2">
      <c r="A88" s="97">
        <v>87</v>
      </c>
      <c r="B88" s="98" t="s">
        <v>472</v>
      </c>
    </row>
    <row r="89" spans="1:2">
      <c r="A89" s="97">
        <v>88</v>
      </c>
      <c r="B89" s="98" t="s">
        <v>472</v>
      </c>
    </row>
    <row r="90" spans="1:2">
      <c r="A90" s="97">
        <v>89</v>
      </c>
      <c r="B90" s="98" t="s">
        <v>477</v>
      </c>
    </row>
    <row r="91" spans="1:2">
      <c r="A91" s="97">
        <v>90</v>
      </c>
      <c r="B91" s="98" t="s">
        <v>477</v>
      </c>
    </row>
    <row r="92" spans="1:2">
      <c r="A92" s="97">
        <v>91</v>
      </c>
      <c r="B92" s="98" t="s">
        <v>480</v>
      </c>
    </row>
    <row r="93" spans="1:2">
      <c r="A93" s="97">
        <v>92</v>
      </c>
      <c r="B93" s="110"/>
    </row>
    <row r="94" spans="1:2">
      <c r="A94" s="97">
        <v>93</v>
      </c>
      <c r="B94" s="98" t="s">
        <v>44</v>
      </c>
    </row>
    <row r="95" spans="1:2">
      <c r="A95" s="97">
        <v>94</v>
      </c>
      <c r="B95" s="98" t="s">
        <v>44</v>
      </c>
    </row>
    <row r="96" spans="1:2">
      <c r="A96" s="97">
        <v>95</v>
      </c>
      <c r="B96" s="98" t="s">
        <v>50</v>
      </c>
    </row>
    <row r="97" spans="1:2">
      <c r="A97" s="97">
        <v>96</v>
      </c>
      <c r="B97" s="110" t="s">
        <v>487</v>
      </c>
    </row>
    <row r="98" spans="1:2">
      <c r="A98" s="97">
        <v>97</v>
      </c>
      <c r="B98" s="110" t="s">
        <v>487</v>
      </c>
    </row>
    <row r="99" spans="1:2">
      <c r="A99" s="97">
        <v>98</v>
      </c>
      <c r="B99" s="98" t="s">
        <v>487</v>
      </c>
    </row>
    <row r="100" spans="1:2">
      <c r="A100" s="97">
        <v>99</v>
      </c>
      <c r="B100" s="124" t="s">
        <v>493</v>
      </c>
    </row>
    <row r="101" spans="1:2">
      <c r="A101" s="97">
        <v>100</v>
      </c>
      <c r="B101" s="124" t="s">
        <v>495</v>
      </c>
    </row>
    <row r="102" spans="1:2">
      <c r="A102" s="97">
        <v>101</v>
      </c>
      <c r="B102" s="124" t="s">
        <v>499</v>
      </c>
    </row>
    <row r="103" spans="1:2">
      <c r="A103" s="97">
        <v>102</v>
      </c>
      <c r="B103" s="124" t="s">
        <v>499</v>
      </c>
    </row>
    <row r="104" spans="1:2">
      <c r="A104" s="97">
        <v>103</v>
      </c>
      <c r="B104" s="98" t="s">
        <v>499</v>
      </c>
    </row>
    <row r="105" spans="1:2">
      <c r="A105" s="97">
        <v>104</v>
      </c>
      <c r="B105" s="126" t="s">
        <v>506</v>
      </c>
    </row>
    <row r="106" spans="1:2">
      <c r="A106" s="97">
        <v>105</v>
      </c>
      <c r="B106" s="110" t="s">
        <v>510</v>
      </c>
    </row>
    <row r="107" spans="1:2">
      <c r="A107" s="97">
        <v>106</v>
      </c>
      <c r="B107" s="134" t="s">
        <v>514</v>
      </c>
    </row>
    <row r="108" spans="1:2">
      <c r="A108" s="97">
        <v>107</v>
      </c>
      <c r="B108" s="134" t="s">
        <v>514</v>
      </c>
    </row>
    <row r="109" spans="1:2">
      <c r="A109" s="97">
        <v>108</v>
      </c>
      <c r="B109" s="124" t="s">
        <v>517</v>
      </c>
    </row>
    <row r="110" spans="1:2">
      <c r="A110" s="97">
        <v>109</v>
      </c>
      <c r="B110" s="124" t="s">
        <v>517</v>
      </c>
    </row>
    <row r="111" spans="1:2">
      <c r="A111" s="97">
        <v>110</v>
      </c>
      <c r="B111" s="124" t="s">
        <v>517</v>
      </c>
    </row>
    <row r="112" spans="1:2">
      <c r="A112" s="97">
        <v>111</v>
      </c>
      <c r="B112" s="124" t="s">
        <v>517</v>
      </c>
    </row>
    <row r="113" spans="1:2">
      <c r="A113" s="97">
        <v>112</v>
      </c>
      <c r="B113" s="124" t="s">
        <v>517</v>
      </c>
    </row>
    <row r="114" spans="1:2">
      <c r="A114" s="97">
        <v>113</v>
      </c>
      <c r="B114" s="124" t="s">
        <v>517</v>
      </c>
    </row>
    <row r="115" spans="1:2">
      <c r="A115" s="97">
        <v>114</v>
      </c>
      <c r="B115" s="124" t="s">
        <v>517</v>
      </c>
    </row>
    <row r="116" spans="1:2">
      <c r="A116" s="97">
        <v>115</v>
      </c>
      <c r="B116" s="124" t="s">
        <v>517</v>
      </c>
    </row>
    <row r="117" spans="1:2">
      <c r="A117" s="97">
        <v>116</v>
      </c>
      <c r="B117" s="98" t="s">
        <v>527</v>
      </c>
    </row>
    <row r="118" spans="1:2">
      <c r="A118" s="97">
        <v>117</v>
      </c>
      <c r="B118" s="98" t="s">
        <v>531</v>
      </c>
    </row>
    <row r="119" spans="1:2">
      <c r="A119" s="97">
        <v>118</v>
      </c>
      <c r="B119" s="98" t="s">
        <v>71</v>
      </c>
    </row>
    <row r="120" spans="1:2">
      <c r="A120" s="97">
        <v>119</v>
      </c>
      <c r="B120" s="98" t="s">
        <v>534</v>
      </c>
    </row>
    <row r="121" spans="1:2">
      <c r="A121" s="97">
        <v>120</v>
      </c>
      <c r="B121" s="98" t="s">
        <v>534</v>
      </c>
    </row>
    <row r="122" spans="1:2">
      <c r="A122" s="97">
        <v>121</v>
      </c>
      <c r="B122" s="98" t="s">
        <v>527</v>
      </c>
    </row>
    <row r="123" spans="1:2">
      <c r="A123" s="97">
        <v>122</v>
      </c>
      <c r="B123" s="143" t="s">
        <v>541</v>
      </c>
    </row>
    <row r="124" spans="1:2">
      <c r="A124" s="97">
        <v>123</v>
      </c>
      <c r="B124" s="98" t="s">
        <v>544</v>
      </c>
    </row>
    <row r="125" spans="1:2">
      <c r="A125" s="97">
        <v>124</v>
      </c>
      <c r="B125" s="143" t="s">
        <v>545</v>
      </c>
    </row>
    <row r="126" spans="1:2">
      <c r="A126" s="97">
        <v>125</v>
      </c>
      <c r="B126" s="98" t="s">
        <v>549</v>
      </c>
    </row>
    <row r="127" spans="1:2">
      <c r="A127" s="97">
        <v>126</v>
      </c>
      <c r="B127" s="143" t="s">
        <v>550</v>
      </c>
    </row>
    <row r="128" spans="1:2">
      <c r="A128" s="97">
        <v>127</v>
      </c>
      <c r="B128" s="98" t="s">
        <v>553</v>
      </c>
    </row>
    <row r="129" spans="1:2">
      <c r="A129" s="97">
        <v>128</v>
      </c>
      <c r="B129" s="143" t="s">
        <v>554</v>
      </c>
    </row>
    <row r="130" spans="1:2">
      <c r="A130" s="97">
        <v>129</v>
      </c>
      <c r="B130" s="98" t="s">
        <v>558</v>
      </c>
    </row>
    <row r="131" spans="1:2">
      <c r="A131" s="97">
        <v>130</v>
      </c>
      <c r="B131" s="149" t="s">
        <v>95</v>
      </c>
    </row>
    <row r="132" spans="1:2">
      <c r="A132" s="97">
        <v>131</v>
      </c>
      <c r="B132" s="124" t="s">
        <v>499</v>
      </c>
    </row>
    <row r="133" spans="1:2">
      <c r="A133" s="97">
        <v>132</v>
      </c>
      <c r="B133" s="149" t="s">
        <v>562</v>
      </c>
    </row>
    <row r="134" spans="1:2">
      <c r="A134" s="97">
        <v>133</v>
      </c>
      <c r="B134" s="124" t="s">
        <v>567</v>
      </c>
    </row>
    <row r="135" spans="1:2">
      <c r="A135" s="97">
        <v>134</v>
      </c>
      <c r="B135" s="151" t="s">
        <v>568</v>
      </c>
    </row>
    <row r="136" spans="1:2">
      <c r="A136" s="97">
        <v>135</v>
      </c>
      <c r="B136" s="124" t="s">
        <v>571</v>
      </c>
    </row>
    <row r="137" spans="1:2">
      <c r="A137" s="97">
        <v>136</v>
      </c>
      <c r="B137" s="124" t="s">
        <v>527</v>
      </c>
    </row>
    <row r="138" spans="1:2">
      <c r="A138" s="97">
        <v>137</v>
      </c>
      <c r="B138" s="124" t="s">
        <v>574</v>
      </c>
    </row>
    <row r="139" spans="1:2">
      <c r="A139" s="97">
        <v>138</v>
      </c>
      <c r="B139" s="98" t="s">
        <v>558</v>
      </c>
    </row>
    <row r="140" spans="1:2">
      <c r="A140" s="97">
        <v>139</v>
      </c>
      <c r="B140" s="124" t="s">
        <v>549</v>
      </c>
    </row>
    <row r="141" spans="1:2">
      <c r="A141" s="97">
        <v>140</v>
      </c>
      <c r="B141" s="124" t="s">
        <v>107</v>
      </c>
    </row>
    <row r="142" spans="1:2">
      <c r="A142" s="97">
        <v>141</v>
      </c>
      <c r="B142" s="149" t="s">
        <v>583</v>
      </c>
    </row>
    <row r="143" spans="1:2">
      <c r="A143" s="97">
        <v>142</v>
      </c>
      <c r="B143" s="124" t="s">
        <v>101</v>
      </c>
    </row>
    <row r="144" spans="1:2">
      <c r="A144" s="97">
        <v>143</v>
      </c>
      <c r="B144" s="124" t="s">
        <v>590</v>
      </c>
    </row>
    <row r="145" spans="1:2">
      <c r="A145" s="97">
        <v>144</v>
      </c>
      <c r="B145" s="124" t="s">
        <v>593</v>
      </c>
    </row>
    <row r="146" spans="1:2">
      <c r="A146" s="97">
        <v>145</v>
      </c>
      <c r="B146" s="124" t="s">
        <v>101</v>
      </c>
    </row>
    <row r="147" spans="1:2">
      <c r="A147" s="97">
        <v>146</v>
      </c>
      <c r="B147" s="149" t="s">
        <v>599</v>
      </c>
    </row>
    <row r="148" spans="1:2">
      <c r="A148" s="97">
        <v>147</v>
      </c>
      <c r="B148" s="124" t="s">
        <v>590</v>
      </c>
    </row>
    <row r="149" spans="1:2">
      <c r="A149" s="97">
        <v>148</v>
      </c>
      <c r="B149" s="124" t="s">
        <v>604</v>
      </c>
    </row>
    <row r="150" spans="1:2">
      <c r="A150" s="97">
        <v>149</v>
      </c>
      <c r="B150" s="124" t="s">
        <v>604</v>
      </c>
    </row>
    <row r="151" spans="1:2">
      <c r="A151" s="97">
        <v>150</v>
      </c>
      <c r="B151" s="124" t="s">
        <v>129</v>
      </c>
    </row>
    <row r="152" spans="1:2">
      <c r="A152" s="97">
        <v>151</v>
      </c>
      <c r="B152" s="124" t="s">
        <v>571</v>
      </c>
    </row>
    <row r="153" spans="1:2">
      <c r="A153" s="97">
        <v>152</v>
      </c>
      <c r="B153" s="124" t="s">
        <v>614</v>
      </c>
    </row>
    <row r="154" spans="1:2">
      <c r="A154" s="97">
        <v>153</v>
      </c>
      <c r="B154" s="124" t="s">
        <v>617</v>
      </c>
    </row>
    <row r="155" spans="1:2">
      <c r="A155" s="97">
        <v>154</v>
      </c>
      <c r="B155" s="167" t="s">
        <v>620</v>
      </c>
    </row>
    <row r="156" spans="1:2">
      <c r="A156" s="97">
        <v>155</v>
      </c>
      <c r="B156" s="167" t="s">
        <v>623</v>
      </c>
    </row>
    <row r="157" spans="1:2">
      <c r="A157" s="97">
        <v>156</v>
      </c>
      <c r="B157" s="167" t="s">
        <v>626</v>
      </c>
    </row>
    <row r="158" spans="1:2">
      <c r="A158" s="97">
        <v>157</v>
      </c>
      <c r="B158" s="124" t="s">
        <v>614</v>
      </c>
    </row>
    <row r="159" spans="1:2">
      <c r="A159" s="97">
        <v>158</v>
      </c>
      <c r="B159" s="167" t="s">
        <v>631</v>
      </c>
    </row>
    <row r="160" spans="1:2">
      <c r="A160" s="97">
        <v>159</v>
      </c>
      <c r="B160" s="168" t="s">
        <v>634</v>
      </c>
    </row>
    <row r="161" spans="1:2">
      <c r="A161" s="97">
        <v>160</v>
      </c>
      <c r="B161" s="167" t="s">
        <v>620</v>
      </c>
    </row>
    <row r="162" spans="1:2">
      <c r="A162" s="97">
        <v>161</v>
      </c>
      <c r="B162" s="167" t="s">
        <v>639</v>
      </c>
    </row>
    <row r="163" spans="1:2">
      <c r="A163" s="97">
        <v>162</v>
      </c>
      <c r="B163" s="168" t="s">
        <v>642</v>
      </c>
    </row>
    <row r="164" spans="1:2">
      <c r="A164" s="97">
        <v>163</v>
      </c>
      <c r="B164" s="167" t="s">
        <v>645</v>
      </c>
    </row>
    <row r="165" spans="1:2">
      <c r="A165" s="97">
        <v>164</v>
      </c>
      <c r="B165" s="167" t="s">
        <v>620</v>
      </c>
    </row>
    <row r="166" spans="1:2">
      <c r="A166" s="97">
        <v>165</v>
      </c>
      <c r="B166" s="167" t="s">
        <v>649</v>
      </c>
    </row>
    <row r="167" spans="1:2">
      <c r="A167" s="97">
        <v>166</v>
      </c>
      <c r="B167" s="169" t="s">
        <v>506</v>
      </c>
    </row>
    <row r="168" spans="1:2">
      <c r="A168" s="97">
        <v>167</v>
      </c>
      <c r="B168" s="167" t="s">
        <v>654</v>
      </c>
    </row>
    <row r="169" spans="1:2">
      <c r="A169" s="97">
        <v>168</v>
      </c>
      <c r="B169" s="167" t="s">
        <v>634</v>
      </c>
    </row>
    <row r="170" spans="1:2">
      <c r="A170" s="97">
        <v>169</v>
      </c>
      <c r="B170" s="167" t="s">
        <v>659</v>
      </c>
    </row>
    <row r="171" spans="1:2">
      <c r="A171" s="97">
        <v>170</v>
      </c>
      <c r="B171" s="170" t="s">
        <v>642</v>
      </c>
    </row>
    <row r="172" spans="1:2">
      <c r="A172" s="97">
        <v>171</v>
      </c>
      <c r="B172" s="168" t="s">
        <v>663</v>
      </c>
    </row>
    <row r="173" spans="1:2">
      <c r="A173" s="97">
        <v>172</v>
      </c>
      <c r="B173" s="169" t="s">
        <v>666</v>
      </c>
    </row>
    <row r="174" spans="1:2">
      <c r="A174" s="97">
        <v>173</v>
      </c>
      <c r="B174" s="170" t="s">
        <v>669</v>
      </c>
    </row>
    <row r="175" spans="1:2">
      <c r="A175" s="97">
        <v>174</v>
      </c>
      <c r="B175" s="169" t="s">
        <v>663</v>
      </c>
    </row>
    <row r="176" spans="1:2">
      <c r="A176" s="97">
        <v>175</v>
      </c>
      <c r="B176" s="169" t="s">
        <v>676</v>
      </c>
    </row>
    <row r="177" spans="1:2">
      <c r="A177" s="97">
        <v>176</v>
      </c>
      <c r="B177" s="169" t="s">
        <v>590</v>
      </c>
    </row>
    <row r="178" spans="1:2">
      <c r="A178" s="97">
        <v>177</v>
      </c>
      <c r="B178" s="169" t="s">
        <v>682</v>
      </c>
    </row>
    <row r="179" spans="1:2">
      <c r="A179" s="97">
        <v>178</v>
      </c>
      <c r="B179" s="169" t="s">
        <v>620</v>
      </c>
    </row>
    <row r="180" spans="1:2">
      <c r="A180" s="97">
        <v>179</v>
      </c>
      <c r="B180" s="170" t="s">
        <v>151</v>
      </c>
    </row>
    <row r="181" spans="1:2">
      <c r="A181" s="97">
        <v>180</v>
      </c>
      <c r="B181" s="170" t="s">
        <v>689</v>
      </c>
    </row>
    <row r="182" spans="1:2">
      <c r="A182" s="97">
        <v>181</v>
      </c>
      <c r="B182" s="169" t="s">
        <v>692</v>
      </c>
    </row>
    <row r="183" spans="1:2">
      <c r="A183" s="97">
        <v>182</v>
      </c>
      <c r="B183" s="169" t="s">
        <v>695</v>
      </c>
    </row>
    <row r="184" spans="1:2">
      <c r="A184" s="97">
        <v>183</v>
      </c>
      <c r="B184" s="169" t="s">
        <v>676</v>
      </c>
    </row>
    <row r="185" spans="1:2">
      <c r="A185" s="97">
        <v>184</v>
      </c>
      <c r="B185" s="170" t="s">
        <v>700</v>
      </c>
    </row>
    <row r="186" spans="1:2">
      <c r="A186" s="97">
        <v>185</v>
      </c>
      <c r="B186" s="172" t="s">
        <v>704</v>
      </c>
    </row>
    <row r="187" spans="1:2">
      <c r="A187" s="97">
        <v>186</v>
      </c>
      <c r="B187" s="172" t="s">
        <v>708</v>
      </c>
    </row>
    <row r="188" spans="1:2">
      <c r="A188" s="97">
        <v>187</v>
      </c>
      <c r="B188" s="173" t="s">
        <v>711</v>
      </c>
    </row>
    <row r="189" spans="1:2">
      <c r="A189" s="97">
        <v>188</v>
      </c>
      <c r="B189" s="172" t="s">
        <v>714</v>
      </c>
    </row>
    <row r="190" spans="1:2">
      <c r="A190" s="97">
        <v>189</v>
      </c>
      <c r="B190" s="172" t="s">
        <v>717</v>
      </c>
    </row>
    <row r="191" spans="1:2">
      <c r="A191" s="97">
        <v>190</v>
      </c>
      <c r="B191" s="172" t="s">
        <v>719</v>
      </c>
    </row>
    <row r="192" spans="1:2">
      <c r="A192" s="97">
        <v>191</v>
      </c>
      <c r="B192" s="172" t="s">
        <v>721</v>
      </c>
    </row>
    <row r="193" spans="1:2">
      <c r="A193" s="97">
        <v>192</v>
      </c>
      <c r="B193" s="172" t="s">
        <v>723</v>
      </c>
    </row>
    <row r="194" spans="1:2">
      <c r="A194" s="97">
        <v>193</v>
      </c>
      <c r="B194" s="172" t="s">
        <v>726</v>
      </c>
    </row>
    <row r="195" spans="1:2">
      <c r="A195" s="97">
        <v>194</v>
      </c>
      <c r="B195" s="172" t="s">
        <v>727</v>
      </c>
    </row>
    <row r="196" spans="1:2">
      <c r="A196" s="97">
        <v>195</v>
      </c>
      <c r="B196" s="172" t="s">
        <v>729</v>
      </c>
    </row>
    <row r="197" spans="1:2">
      <c r="A197" s="97">
        <v>196</v>
      </c>
      <c r="B197" s="180" t="s">
        <v>493</v>
      </c>
    </row>
    <row r="198" spans="1:2">
      <c r="A198" s="97">
        <v>197</v>
      </c>
      <c r="B198" s="124" t="s">
        <v>617</v>
      </c>
    </row>
    <row r="199" spans="1:2">
      <c r="A199" s="97">
        <v>198</v>
      </c>
      <c r="B199" s="124" t="s">
        <v>733</v>
      </c>
    </row>
    <row r="200" spans="1:2">
      <c r="A200" s="97">
        <v>199</v>
      </c>
      <c r="B200" s="181" t="s">
        <v>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D461"/>
  <sheetViews>
    <sheetView workbookViewId="0">
      <selection activeCell="B3" sqref="B3:B329"/>
    </sheetView>
  </sheetViews>
  <sheetFormatPr defaultRowHeight="15" outlineLevelRow="2"/>
  <cols>
    <col min="2" max="2" width="18.28515625" bestFit="1" customWidth="1"/>
    <col min="3" max="3" width="15.42578125" bestFit="1" customWidth="1"/>
    <col min="4" max="4" width="37" bestFit="1" customWidth="1"/>
  </cols>
  <sheetData>
    <row r="1" spans="1:4" ht="30">
      <c r="A1" s="97" t="s">
        <v>175</v>
      </c>
      <c r="B1" s="97"/>
      <c r="C1" s="97" t="s">
        <v>176</v>
      </c>
      <c r="D1" s="98"/>
    </row>
    <row r="2" spans="1:4" ht="45" hidden="1" outlineLevel="2">
      <c r="A2" s="97">
        <v>1</v>
      </c>
      <c r="B2" s="97"/>
      <c r="C2" s="97" t="s">
        <v>299</v>
      </c>
      <c r="D2" s="98"/>
    </row>
    <row r="3" spans="1:4" ht="47.25" outlineLevel="1" collapsed="1">
      <c r="A3" s="97"/>
      <c r="B3" s="182" t="s">
        <v>739</v>
      </c>
      <c r="C3" s="97">
        <f>SUBTOTAL(3,C2:C2)</f>
        <v>0</v>
      </c>
      <c r="D3" s="98"/>
    </row>
    <row r="4" spans="1:4" ht="45" hidden="1" outlineLevel="2">
      <c r="A4" s="97">
        <v>2</v>
      </c>
      <c r="B4" s="97"/>
      <c r="C4" s="97" t="s">
        <v>302</v>
      </c>
      <c r="D4" s="98"/>
    </row>
    <row r="5" spans="1:4" ht="45" hidden="1" outlineLevel="2">
      <c r="A5" s="97">
        <v>3</v>
      </c>
      <c r="B5" s="97"/>
      <c r="C5" s="97" t="s">
        <v>302</v>
      </c>
      <c r="D5" s="98"/>
    </row>
    <row r="6" spans="1:4" ht="45" hidden="1" outlineLevel="2">
      <c r="A6" s="97">
        <v>4</v>
      </c>
      <c r="B6" s="97"/>
      <c r="C6" s="97" t="s">
        <v>302</v>
      </c>
      <c r="D6" s="98"/>
    </row>
    <row r="7" spans="1:4" ht="45" hidden="1" outlineLevel="2">
      <c r="A7" s="97">
        <v>5</v>
      </c>
      <c r="B7" s="97"/>
      <c r="C7" s="97" t="s">
        <v>302</v>
      </c>
      <c r="D7" s="98"/>
    </row>
    <row r="8" spans="1:4" ht="45" hidden="1" outlineLevel="2">
      <c r="A8" s="97">
        <v>6</v>
      </c>
      <c r="B8" s="97"/>
      <c r="C8" s="97" t="s">
        <v>302</v>
      </c>
      <c r="D8" s="98"/>
    </row>
    <row r="9" spans="1:4" ht="45" hidden="1" outlineLevel="2">
      <c r="A9" s="97">
        <v>7</v>
      </c>
      <c r="B9" s="97"/>
      <c r="C9" s="97" t="s">
        <v>302</v>
      </c>
      <c r="D9" s="98"/>
    </row>
    <row r="10" spans="1:4" ht="45" hidden="1" outlineLevel="2">
      <c r="A10" s="97">
        <v>8</v>
      </c>
      <c r="B10" s="97"/>
      <c r="C10" s="97" t="s">
        <v>302</v>
      </c>
      <c r="D10" s="98"/>
    </row>
    <row r="11" spans="1:4" ht="45" hidden="1" outlineLevel="2">
      <c r="A11" s="97">
        <v>9</v>
      </c>
      <c r="B11" s="97"/>
      <c r="C11" s="97" t="s">
        <v>302</v>
      </c>
      <c r="D11" s="98"/>
    </row>
    <row r="12" spans="1:4" ht="45" hidden="1" outlineLevel="2">
      <c r="A12" s="97">
        <v>10</v>
      </c>
      <c r="B12" s="97"/>
      <c r="C12" s="97" t="s">
        <v>302</v>
      </c>
      <c r="D12" s="98"/>
    </row>
    <row r="13" spans="1:4" ht="45" hidden="1" outlineLevel="2">
      <c r="A13" s="97">
        <v>11</v>
      </c>
      <c r="B13" s="97"/>
      <c r="C13" s="97" t="s">
        <v>302</v>
      </c>
      <c r="D13" s="98"/>
    </row>
    <row r="14" spans="1:4" ht="45" hidden="1" outlineLevel="2">
      <c r="A14" s="97">
        <v>12</v>
      </c>
      <c r="B14" s="97"/>
      <c r="C14" s="97" t="s">
        <v>302</v>
      </c>
      <c r="D14" s="98"/>
    </row>
    <row r="15" spans="1:4" ht="45" hidden="1" outlineLevel="2">
      <c r="A15" s="97">
        <v>13</v>
      </c>
      <c r="B15" s="97"/>
      <c r="C15" s="97" t="s">
        <v>302</v>
      </c>
      <c r="D15" s="98"/>
    </row>
    <row r="16" spans="1:4" ht="45" hidden="1" outlineLevel="2">
      <c r="A16" s="97">
        <v>14</v>
      </c>
      <c r="B16" s="97"/>
      <c r="C16" s="97" t="s">
        <v>302</v>
      </c>
      <c r="D16" s="98"/>
    </row>
    <row r="17" spans="1:4" ht="47.25" outlineLevel="1" collapsed="1">
      <c r="A17" s="97"/>
      <c r="B17" s="111" t="s">
        <v>740</v>
      </c>
      <c r="C17" s="97">
        <f>SUBTOTAL(3,C4:C16)</f>
        <v>0</v>
      </c>
      <c r="D17" s="98"/>
    </row>
    <row r="18" spans="1:4" ht="30" hidden="1" outlineLevel="2">
      <c r="A18" s="97">
        <v>15</v>
      </c>
      <c r="B18" s="97"/>
      <c r="C18" s="97" t="s">
        <v>325</v>
      </c>
      <c r="D18" s="98"/>
    </row>
    <row r="19" spans="1:4" ht="47.25" outlineLevel="1" collapsed="1">
      <c r="A19" s="97"/>
      <c r="B19" s="111" t="s">
        <v>741</v>
      </c>
      <c r="C19" s="97">
        <f>SUBTOTAL(3,C18:C18)</f>
        <v>0</v>
      </c>
      <c r="D19" s="98"/>
    </row>
    <row r="20" spans="1:4" ht="45" hidden="1" outlineLevel="2">
      <c r="A20" s="97">
        <v>16</v>
      </c>
      <c r="B20" s="97"/>
      <c r="C20" s="97" t="s">
        <v>328</v>
      </c>
      <c r="D20" s="98"/>
    </row>
    <row r="21" spans="1:4" ht="45" hidden="1" outlineLevel="2">
      <c r="A21" s="97">
        <v>17</v>
      </c>
      <c r="B21" s="97"/>
      <c r="C21" s="97" t="s">
        <v>328</v>
      </c>
      <c r="D21" s="98"/>
    </row>
    <row r="22" spans="1:4" ht="45" hidden="1" outlineLevel="2">
      <c r="A22" s="97">
        <v>18</v>
      </c>
      <c r="B22" s="97"/>
      <c r="C22" s="97" t="s">
        <v>328</v>
      </c>
      <c r="D22" s="98"/>
    </row>
    <row r="23" spans="1:4" ht="45" hidden="1" outlineLevel="2">
      <c r="A23" s="97">
        <v>19</v>
      </c>
      <c r="B23" s="97"/>
      <c r="C23" s="97" t="s">
        <v>328</v>
      </c>
      <c r="D23" s="98"/>
    </row>
    <row r="24" spans="1:4" ht="45" hidden="1" outlineLevel="2">
      <c r="A24" s="97">
        <v>20</v>
      </c>
      <c r="B24" s="97"/>
      <c r="C24" s="97" t="s">
        <v>328</v>
      </c>
      <c r="D24" s="98"/>
    </row>
    <row r="25" spans="1:4" ht="45" hidden="1" outlineLevel="2">
      <c r="A25" s="97">
        <v>21</v>
      </c>
      <c r="B25" s="97"/>
      <c r="C25" s="97" t="s">
        <v>328</v>
      </c>
      <c r="D25" s="98"/>
    </row>
    <row r="26" spans="1:4" ht="45" hidden="1" outlineLevel="2">
      <c r="A26" s="97">
        <v>22</v>
      </c>
      <c r="B26" s="97"/>
      <c r="C26" s="97" t="s">
        <v>328</v>
      </c>
      <c r="D26" s="98"/>
    </row>
    <row r="27" spans="1:4" ht="45" hidden="1" outlineLevel="2">
      <c r="A27" s="97">
        <v>23</v>
      </c>
      <c r="B27" s="97"/>
      <c r="C27" s="97" t="s">
        <v>328</v>
      </c>
      <c r="D27" s="98"/>
    </row>
    <row r="28" spans="1:4" ht="47.25" outlineLevel="1" collapsed="1">
      <c r="A28" s="97"/>
      <c r="B28" s="111" t="s">
        <v>742</v>
      </c>
      <c r="C28" s="97">
        <f>SUBTOTAL(3,C20:C27)</f>
        <v>0</v>
      </c>
      <c r="D28" s="98"/>
    </row>
    <row r="29" spans="1:4" ht="30" hidden="1" outlineLevel="2">
      <c r="A29" s="97">
        <v>24</v>
      </c>
      <c r="B29" s="97"/>
      <c r="C29" s="97" t="s">
        <v>342</v>
      </c>
      <c r="D29" s="98"/>
    </row>
    <row r="30" spans="1:4" ht="47.25" outlineLevel="1" collapsed="1">
      <c r="A30" s="97"/>
      <c r="B30" s="111" t="s">
        <v>743</v>
      </c>
      <c r="C30" s="97">
        <f>SUBTOTAL(3,C29:C29)</f>
        <v>0</v>
      </c>
      <c r="D30" s="98"/>
    </row>
    <row r="31" spans="1:4" ht="45" hidden="1" outlineLevel="2">
      <c r="A31" s="97">
        <v>25</v>
      </c>
      <c r="B31" s="97"/>
      <c r="C31" s="97" t="s">
        <v>344</v>
      </c>
      <c r="D31" s="98"/>
    </row>
    <row r="32" spans="1:4" ht="45" hidden="1" outlineLevel="2">
      <c r="A32" s="97">
        <v>26</v>
      </c>
      <c r="B32" s="97"/>
      <c r="C32" s="97" t="s">
        <v>344</v>
      </c>
      <c r="D32" s="98"/>
    </row>
    <row r="33" spans="1:4" ht="47.25" outlineLevel="1" collapsed="1">
      <c r="A33" s="97"/>
      <c r="B33" s="111" t="s">
        <v>744</v>
      </c>
      <c r="C33" s="97">
        <f>SUBTOTAL(3,C31:C32)</f>
        <v>0</v>
      </c>
      <c r="D33" s="98"/>
    </row>
    <row r="34" spans="1:4" ht="45" hidden="1" outlineLevel="2">
      <c r="A34" s="97">
        <v>27</v>
      </c>
      <c r="B34" s="97"/>
      <c r="C34" s="97" t="s">
        <v>349</v>
      </c>
      <c r="D34" s="98"/>
    </row>
    <row r="35" spans="1:4" ht="47.25" outlineLevel="1" collapsed="1">
      <c r="A35" s="97"/>
      <c r="B35" s="111" t="s">
        <v>745</v>
      </c>
      <c r="C35" s="97">
        <f>SUBTOTAL(3,C34:C34)</f>
        <v>0</v>
      </c>
      <c r="D35" s="98"/>
    </row>
    <row r="36" spans="1:4" ht="30" hidden="1" outlineLevel="2">
      <c r="A36" s="97">
        <v>28</v>
      </c>
      <c r="B36" s="97"/>
      <c r="C36" s="97" t="s">
        <v>352</v>
      </c>
      <c r="D36" s="98"/>
    </row>
    <row r="37" spans="1:4" ht="31.5" outlineLevel="1" collapsed="1">
      <c r="A37" s="97"/>
      <c r="B37" s="111" t="s">
        <v>746</v>
      </c>
      <c r="C37" s="97">
        <f>SUBTOTAL(3,C36:C36)</f>
        <v>0</v>
      </c>
      <c r="D37" s="98"/>
    </row>
    <row r="38" spans="1:4" ht="30" hidden="1" outlineLevel="2">
      <c r="A38" s="97">
        <v>29</v>
      </c>
      <c r="B38" s="97"/>
      <c r="C38" s="97" t="s">
        <v>355</v>
      </c>
      <c r="D38" s="98"/>
    </row>
    <row r="39" spans="1:4" ht="47.25" outlineLevel="1" collapsed="1">
      <c r="A39" s="97"/>
      <c r="B39" s="111" t="s">
        <v>747</v>
      </c>
      <c r="C39" s="97">
        <f>SUBTOTAL(3,C38:C38)</f>
        <v>0</v>
      </c>
      <c r="D39" s="98"/>
    </row>
    <row r="40" spans="1:4" ht="30" hidden="1" outlineLevel="2">
      <c r="A40" s="97">
        <v>30</v>
      </c>
      <c r="B40" s="97"/>
      <c r="C40" s="97" t="s">
        <v>358</v>
      </c>
      <c r="D40" s="98"/>
    </row>
    <row r="41" spans="1:4" ht="47.25" outlineLevel="1" collapsed="1">
      <c r="A41" s="97"/>
      <c r="B41" s="111" t="s">
        <v>748</v>
      </c>
      <c r="C41" s="97">
        <f>SUBTOTAL(3,C40:C40)</f>
        <v>0</v>
      </c>
      <c r="D41" s="98"/>
    </row>
    <row r="42" spans="1:4" ht="45" hidden="1" outlineLevel="2">
      <c r="A42" s="97">
        <v>31</v>
      </c>
      <c r="B42" s="97"/>
      <c r="C42" s="97" t="s">
        <v>361</v>
      </c>
      <c r="D42" s="98"/>
    </row>
    <row r="43" spans="1:4" ht="47.25" outlineLevel="1" collapsed="1">
      <c r="A43" s="97"/>
      <c r="B43" s="111" t="s">
        <v>749</v>
      </c>
      <c r="C43" s="97">
        <f>SUBTOTAL(3,C42:C42)</f>
        <v>0</v>
      </c>
      <c r="D43" s="98"/>
    </row>
    <row r="44" spans="1:4" ht="45" hidden="1" outlineLevel="2">
      <c r="A44" s="97">
        <v>32</v>
      </c>
      <c r="B44" s="97"/>
      <c r="C44" s="97" t="s">
        <v>364</v>
      </c>
      <c r="D44" s="98"/>
    </row>
    <row r="45" spans="1:4" ht="47.25" outlineLevel="1" collapsed="1">
      <c r="A45" s="97"/>
      <c r="B45" s="111" t="s">
        <v>750</v>
      </c>
      <c r="C45" s="97">
        <f>SUBTOTAL(3,C44:C44)</f>
        <v>0</v>
      </c>
      <c r="D45" s="98"/>
    </row>
    <row r="46" spans="1:4" ht="45" hidden="1" outlineLevel="2">
      <c r="A46" s="97">
        <v>33</v>
      </c>
      <c r="B46" s="97"/>
      <c r="C46" s="97" t="s">
        <v>367</v>
      </c>
      <c r="D46" s="98"/>
    </row>
    <row r="47" spans="1:4" ht="45" hidden="1" outlineLevel="2">
      <c r="A47" s="97">
        <v>34</v>
      </c>
      <c r="B47" s="97"/>
      <c r="C47" s="97" t="s">
        <v>367</v>
      </c>
      <c r="D47" s="98"/>
    </row>
    <row r="48" spans="1:4" ht="47.25" outlineLevel="1" collapsed="1">
      <c r="A48" s="97"/>
      <c r="B48" s="111" t="s">
        <v>751</v>
      </c>
      <c r="C48" s="97">
        <f>SUBTOTAL(3,C46:C47)</f>
        <v>0</v>
      </c>
      <c r="D48" s="98"/>
    </row>
    <row r="49" spans="1:4" ht="45" hidden="1" outlineLevel="2">
      <c r="A49" s="97">
        <v>35</v>
      </c>
      <c r="B49" s="97"/>
      <c r="C49" s="97" t="s">
        <v>372</v>
      </c>
      <c r="D49" s="98"/>
    </row>
    <row r="50" spans="1:4" ht="45" hidden="1" outlineLevel="2">
      <c r="A50" s="97">
        <v>36</v>
      </c>
      <c r="B50" s="97"/>
      <c r="C50" s="97" t="s">
        <v>372</v>
      </c>
      <c r="D50" s="98"/>
    </row>
    <row r="51" spans="1:4" ht="45" hidden="1" outlineLevel="2">
      <c r="A51" s="97">
        <v>37</v>
      </c>
      <c r="B51" s="97"/>
      <c r="C51" s="97" t="s">
        <v>372</v>
      </c>
      <c r="D51" s="98"/>
    </row>
    <row r="52" spans="1:4" ht="47.25" outlineLevel="1" collapsed="1">
      <c r="A52" s="97"/>
      <c r="B52" s="111" t="s">
        <v>752</v>
      </c>
      <c r="C52" s="97">
        <f>SUBTOTAL(3,C49:C51)</f>
        <v>0</v>
      </c>
      <c r="D52" s="98"/>
    </row>
    <row r="53" spans="1:4" ht="45" hidden="1" outlineLevel="2">
      <c r="A53" s="97">
        <v>38</v>
      </c>
      <c r="B53" s="97"/>
      <c r="C53" s="97" t="s">
        <v>377</v>
      </c>
      <c r="D53" s="98"/>
    </row>
    <row r="54" spans="1:4" ht="45" hidden="1" outlineLevel="2">
      <c r="A54" s="97">
        <v>39</v>
      </c>
      <c r="B54" s="97"/>
      <c r="C54" s="97" t="s">
        <v>377</v>
      </c>
      <c r="D54" s="98"/>
    </row>
    <row r="55" spans="1:4" ht="45" hidden="1" outlineLevel="2">
      <c r="A55" s="97">
        <v>40</v>
      </c>
      <c r="B55" s="97"/>
      <c r="C55" s="97" t="s">
        <v>377</v>
      </c>
      <c r="D55" s="98"/>
    </row>
    <row r="56" spans="1:4" ht="45" hidden="1" outlineLevel="2">
      <c r="A56" s="97">
        <v>41</v>
      </c>
      <c r="B56" s="97"/>
      <c r="C56" s="97" t="s">
        <v>377</v>
      </c>
      <c r="D56" s="98"/>
    </row>
    <row r="57" spans="1:4" ht="45" hidden="1" outlineLevel="2">
      <c r="A57" s="97">
        <v>42</v>
      </c>
      <c r="B57" s="97"/>
      <c r="C57" s="97" t="s">
        <v>377</v>
      </c>
      <c r="D57" s="98"/>
    </row>
    <row r="58" spans="1:4" ht="45" hidden="1" outlineLevel="2">
      <c r="A58" s="97">
        <v>43</v>
      </c>
      <c r="B58" s="97"/>
      <c r="C58" s="97" t="s">
        <v>377</v>
      </c>
      <c r="D58" s="98"/>
    </row>
    <row r="59" spans="1:4" ht="45" hidden="1" outlineLevel="2">
      <c r="A59" s="97">
        <v>44</v>
      </c>
      <c r="B59" s="97"/>
      <c r="C59" s="97" t="s">
        <v>377</v>
      </c>
      <c r="D59" s="98"/>
    </row>
    <row r="60" spans="1:4" ht="63" outlineLevel="1" collapsed="1">
      <c r="A60" s="97"/>
      <c r="B60" s="111" t="s">
        <v>753</v>
      </c>
      <c r="C60" s="97">
        <f>SUBTOTAL(3,C53:C59)</f>
        <v>0</v>
      </c>
      <c r="D60" s="98"/>
    </row>
    <row r="61" spans="1:4" ht="30" hidden="1" outlineLevel="2">
      <c r="A61" s="97">
        <v>45</v>
      </c>
      <c r="B61" s="97"/>
      <c r="C61" s="97" t="s">
        <v>389</v>
      </c>
      <c r="D61" s="98"/>
    </row>
    <row r="62" spans="1:4" ht="47.25" outlineLevel="1" collapsed="1">
      <c r="A62" s="97"/>
      <c r="B62" s="111" t="s">
        <v>754</v>
      </c>
      <c r="C62" s="97">
        <f>SUBTOTAL(3,C61:C61)</f>
        <v>0</v>
      </c>
      <c r="D62" s="98"/>
    </row>
    <row r="63" spans="1:4" ht="45" hidden="1" outlineLevel="2">
      <c r="A63" s="97">
        <v>46</v>
      </c>
      <c r="B63" s="97"/>
      <c r="C63" s="97" t="s">
        <v>392</v>
      </c>
      <c r="D63" s="98"/>
    </row>
    <row r="64" spans="1:4" ht="47.25" outlineLevel="1" collapsed="1">
      <c r="A64" s="97"/>
      <c r="B64" s="111" t="s">
        <v>755</v>
      </c>
      <c r="C64" s="97">
        <f>SUBTOTAL(3,C63:C63)</f>
        <v>0</v>
      </c>
      <c r="D64" s="98"/>
    </row>
    <row r="65" spans="1:4" ht="45" hidden="1" outlineLevel="2">
      <c r="A65" s="97">
        <v>47</v>
      </c>
      <c r="B65" s="97"/>
      <c r="C65" s="97" t="s">
        <v>395</v>
      </c>
      <c r="D65" s="98"/>
    </row>
    <row r="66" spans="1:4" ht="47.25" outlineLevel="1" collapsed="1">
      <c r="A66" s="97"/>
      <c r="B66" s="111" t="s">
        <v>756</v>
      </c>
      <c r="C66" s="97">
        <f>SUBTOTAL(3,C65:C65)</f>
        <v>0</v>
      </c>
      <c r="D66" s="98"/>
    </row>
    <row r="67" spans="1:4" ht="45" hidden="1" outlineLevel="2">
      <c r="A67" s="97">
        <v>48</v>
      </c>
      <c r="B67" s="97"/>
      <c r="C67" s="97" t="s">
        <v>397</v>
      </c>
      <c r="D67" s="98"/>
    </row>
    <row r="68" spans="1:4" ht="45" hidden="1" outlineLevel="2">
      <c r="A68" s="97">
        <v>49</v>
      </c>
      <c r="B68" s="97"/>
      <c r="C68" s="97" t="s">
        <v>397</v>
      </c>
      <c r="D68" s="98"/>
    </row>
    <row r="69" spans="1:4" ht="63" outlineLevel="1" collapsed="1">
      <c r="A69" s="97"/>
      <c r="B69" s="111" t="s">
        <v>757</v>
      </c>
      <c r="C69" s="97">
        <f>SUBTOTAL(3,C67:C68)</f>
        <v>0</v>
      </c>
      <c r="D69" s="98"/>
    </row>
    <row r="70" spans="1:4" ht="45" hidden="1" outlineLevel="2">
      <c r="A70" s="97">
        <v>50</v>
      </c>
      <c r="B70" s="97"/>
      <c r="C70" s="97" t="s">
        <v>402</v>
      </c>
      <c r="D70" s="98"/>
    </row>
    <row r="71" spans="1:4" ht="47.25" outlineLevel="1" collapsed="1">
      <c r="A71" s="97"/>
      <c r="B71" s="111" t="s">
        <v>758</v>
      </c>
      <c r="C71" s="97">
        <f>SUBTOTAL(3,C70:C70)</f>
        <v>0</v>
      </c>
      <c r="D71" s="98"/>
    </row>
    <row r="72" spans="1:4" ht="30" hidden="1" outlineLevel="2">
      <c r="A72" s="97">
        <v>51</v>
      </c>
      <c r="B72" s="97"/>
      <c r="C72" s="97" t="s">
        <v>405</v>
      </c>
      <c r="D72" s="98"/>
    </row>
    <row r="73" spans="1:4" ht="30" hidden="1" outlineLevel="2">
      <c r="A73" s="97">
        <v>52</v>
      </c>
      <c r="B73" s="97"/>
      <c r="C73" s="97" t="s">
        <v>405</v>
      </c>
      <c r="D73" s="98"/>
    </row>
    <row r="74" spans="1:4" ht="47.25" outlineLevel="1" collapsed="1">
      <c r="A74" s="97"/>
      <c r="B74" s="111" t="s">
        <v>759</v>
      </c>
      <c r="C74" s="97">
        <f>SUBTOTAL(3,C72:C73)</f>
        <v>0</v>
      </c>
      <c r="D74" s="98"/>
    </row>
    <row r="75" spans="1:4" ht="30" hidden="1" outlineLevel="2">
      <c r="A75" s="97">
        <v>53</v>
      </c>
      <c r="B75" s="97"/>
      <c r="C75" s="97" t="s">
        <v>410</v>
      </c>
      <c r="D75" s="98"/>
    </row>
    <row r="76" spans="1:4" ht="47.25" outlineLevel="1" collapsed="1">
      <c r="A76" s="97"/>
      <c r="B76" s="111" t="s">
        <v>760</v>
      </c>
      <c r="C76" s="97">
        <f>SUBTOTAL(3,C75:C75)</f>
        <v>0</v>
      </c>
      <c r="D76" s="98"/>
    </row>
    <row r="77" spans="1:4" ht="45" hidden="1" outlineLevel="2">
      <c r="A77" s="97">
        <v>54</v>
      </c>
      <c r="B77" s="97"/>
      <c r="C77" s="97" t="s">
        <v>412</v>
      </c>
      <c r="D77" s="98"/>
    </row>
    <row r="78" spans="1:4" ht="45" hidden="1" outlineLevel="2">
      <c r="A78" s="97">
        <v>55</v>
      </c>
      <c r="B78" s="97"/>
      <c r="C78" s="97" t="s">
        <v>412</v>
      </c>
      <c r="D78" s="98"/>
    </row>
    <row r="79" spans="1:4" ht="45" hidden="1" outlineLevel="2">
      <c r="A79" s="97">
        <v>56</v>
      </c>
      <c r="B79" s="97"/>
      <c r="C79" s="97" t="s">
        <v>412</v>
      </c>
      <c r="D79" s="98"/>
    </row>
    <row r="80" spans="1:4" ht="45" hidden="1" outlineLevel="2">
      <c r="A80" s="97">
        <v>57</v>
      </c>
      <c r="B80" s="97"/>
      <c r="C80" s="97" t="s">
        <v>412</v>
      </c>
      <c r="D80" s="98"/>
    </row>
    <row r="81" spans="1:4" ht="45" hidden="1" outlineLevel="2">
      <c r="A81" s="97">
        <v>58</v>
      </c>
      <c r="B81" s="97"/>
      <c r="C81" s="97" t="s">
        <v>412</v>
      </c>
      <c r="D81" s="98"/>
    </row>
    <row r="82" spans="1:4" ht="45" hidden="1" outlineLevel="2">
      <c r="A82" s="97">
        <v>59</v>
      </c>
      <c r="B82" s="97"/>
      <c r="C82" s="97" t="s">
        <v>412</v>
      </c>
      <c r="D82" s="98"/>
    </row>
    <row r="83" spans="1:4" ht="47.25" outlineLevel="1" collapsed="1">
      <c r="A83" s="97"/>
      <c r="B83" s="111" t="s">
        <v>761</v>
      </c>
      <c r="C83" s="97">
        <f>SUBTOTAL(3,C77:C82)</f>
        <v>0</v>
      </c>
      <c r="D83" s="98"/>
    </row>
    <row r="84" spans="1:4" ht="45" hidden="1" outlineLevel="2">
      <c r="A84" s="97">
        <v>60</v>
      </c>
      <c r="B84" s="97"/>
      <c r="C84" s="97" t="s">
        <v>423</v>
      </c>
      <c r="D84" s="98"/>
    </row>
    <row r="85" spans="1:4" ht="45" hidden="1" outlineLevel="2">
      <c r="A85" s="97">
        <v>61</v>
      </c>
      <c r="B85" s="97"/>
      <c r="C85" s="97" t="s">
        <v>423</v>
      </c>
      <c r="D85" s="98"/>
    </row>
    <row r="86" spans="1:4" ht="45" hidden="1" outlineLevel="2">
      <c r="A86" s="97">
        <v>62</v>
      </c>
      <c r="B86" s="97"/>
      <c r="C86" s="97" t="s">
        <v>423</v>
      </c>
      <c r="D86" s="98"/>
    </row>
    <row r="87" spans="1:4" ht="45" hidden="1" outlineLevel="2">
      <c r="A87" s="97">
        <v>63</v>
      </c>
      <c r="B87" s="97"/>
      <c r="C87" s="97" t="s">
        <v>423</v>
      </c>
      <c r="D87" s="98"/>
    </row>
    <row r="88" spans="1:4" ht="47.25" outlineLevel="1" collapsed="1">
      <c r="A88" s="97"/>
      <c r="B88" s="111" t="s">
        <v>762</v>
      </c>
      <c r="C88" s="97">
        <f>SUBTOTAL(3,C84:C87)</f>
        <v>0</v>
      </c>
      <c r="D88" s="98"/>
    </row>
    <row r="89" spans="1:4" ht="30" hidden="1" outlineLevel="2">
      <c r="A89" s="97">
        <v>64</v>
      </c>
      <c r="B89" s="97"/>
      <c r="C89" s="97" t="s">
        <v>430</v>
      </c>
      <c r="D89" s="98"/>
    </row>
    <row r="90" spans="1:4" ht="47.25" outlineLevel="1" collapsed="1">
      <c r="A90" s="97"/>
      <c r="B90" s="111" t="s">
        <v>763</v>
      </c>
      <c r="C90" s="97">
        <f>SUBTOTAL(3,C89:C89)</f>
        <v>0</v>
      </c>
      <c r="D90" s="98"/>
    </row>
    <row r="91" spans="1:4" ht="30" hidden="1" outlineLevel="2">
      <c r="A91" s="97">
        <v>65</v>
      </c>
      <c r="B91" s="97"/>
      <c r="C91" s="97" t="s">
        <v>432</v>
      </c>
      <c r="D91" s="98"/>
    </row>
    <row r="92" spans="1:4" ht="30" hidden="1" outlineLevel="2">
      <c r="A92" s="97">
        <v>66</v>
      </c>
      <c r="B92" s="97"/>
      <c r="C92" s="97" t="s">
        <v>432</v>
      </c>
      <c r="D92" s="98"/>
    </row>
    <row r="93" spans="1:4" ht="30" hidden="1" outlineLevel="2">
      <c r="A93" s="97">
        <v>67</v>
      </c>
      <c r="B93" s="97"/>
      <c r="C93" s="97" t="s">
        <v>432</v>
      </c>
      <c r="D93" s="98"/>
    </row>
    <row r="94" spans="1:4" ht="30" hidden="1" outlineLevel="2">
      <c r="A94" s="97">
        <v>68</v>
      </c>
      <c r="B94" s="97"/>
      <c r="C94" s="97" t="s">
        <v>432</v>
      </c>
      <c r="D94" s="98"/>
    </row>
    <row r="95" spans="1:4" ht="31.5" outlineLevel="1" collapsed="1">
      <c r="A95" s="97"/>
      <c r="B95" s="111" t="s">
        <v>764</v>
      </c>
      <c r="C95" s="97">
        <f>SUBTOTAL(3,C91:C94)</f>
        <v>0</v>
      </c>
      <c r="D95" s="98"/>
    </row>
    <row r="96" spans="1:4" ht="45" hidden="1" outlineLevel="2">
      <c r="A96" s="97">
        <v>69</v>
      </c>
      <c r="B96" s="97"/>
      <c r="C96" s="97" t="s">
        <v>440</v>
      </c>
      <c r="D96" s="98"/>
    </row>
    <row r="97" spans="1:4" ht="47.25" outlineLevel="1" collapsed="1">
      <c r="A97" s="97"/>
      <c r="B97" s="111" t="s">
        <v>765</v>
      </c>
      <c r="C97" s="97">
        <f>SUBTOTAL(3,C96:C96)</f>
        <v>0</v>
      </c>
      <c r="D97" s="98"/>
    </row>
    <row r="98" spans="1:4" ht="45" hidden="1" outlineLevel="2">
      <c r="A98" s="97">
        <v>70</v>
      </c>
      <c r="B98" s="97"/>
      <c r="C98" s="97" t="s">
        <v>442</v>
      </c>
      <c r="D98" s="98"/>
    </row>
    <row r="99" spans="1:4" ht="45" hidden="1" outlineLevel="2">
      <c r="A99" s="97">
        <v>71</v>
      </c>
      <c r="B99" s="97"/>
      <c r="C99" s="97" t="s">
        <v>442</v>
      </c>
      <c r="D99" s="98"/>
    </row>
    <row r="100" spans="1:4" ht="45" hidden="1" outlineLevel="2">
      <c r="A100" s="97">
        <v>72</v>
      </c>
      <c r="B100" s="97"/>
      <c r="C100" s="97" t="s">
        <v>445</v>
      </c>
      <c r="D100" s="98"/>
    </row>
    <row r="101" spans="1:4" ht="45" hidden="1" outlineLevel="2">
      <c r="A101" s="97">
        <v>73</v>
      </c>
      <c r="B101" s="97"/>
      <c r="C101" s="97" t="s">
        <v>445</v>
      </c>
      <c r="D101" s="98"/>
    </row>
    <row r="102" spans="1:4" ht="47.25" outlineLevel="1" collapsed="1">
      <c r="A102" s="97"/>
      <c r="B102" s="111" t="s">
        <v>766</v>
      </c>
      <c r="C102" s="97">
        <f>SUBTOTAL(3,C98:C101)</f>
        <v>0</v>
      </c>
      <c r="D102" s="98"/>
    </row>
    <row r="103" spans="1:4" ht="45" hidden="1" outlineLevel="2">
      <c r="A103" s="97">
        <v>74</v>
      </c>
      <c r="B103" s="97"/>
      <c r="C103" s="97" t="s">
        <v>448</v>
      </c>
      <c r="D103" s="98"/>
    </row>
    <row r="104" spans="1:4" ht="45" hidden="1" outlineLevel="2">
      <c r="A104" s="97">
        <v>75</v>
      </c>
      <c r="B104" s="97"/>
      <c r="C104" s="97" t="s">
        <v>448</v>
      </c>
      <c r="D104" s="98"/>
    </row>
    <row r="105" spans="1:4" ht="45" hidden="1" outlineLevel="2">
      <c r="A105" s="97">
        <v>76</v>
      </c>
      <c r="B105" s="97"/>
      <c r="C105" s="97" t="s">
        <v>448</v>
      </c>
      <c r="D105" s="98"/>
    </row>
    <row r="106" spans="1:4" ht="47.25" outlineLevel="1" collapsed="1">
      <c r="A106" s="97"/>
      <c r="B106" s="111" t="s">
        <v>767</v>
      </c>
      <c r="C106" s="97">
        <f>SUBTOTAL(3,C103:C105)</f>
        <v>0</v>
      </c>
      <c r="D106" s="98"/>
    </row>
    <row r="107" spans="1:4" ht="60" hidden="1" outlineLevel="2">
      <c r="A107" s="97">
        <v>77</v>
      </c>
      <c r="B107" s="97"/>
      <c r="C107" s="97" t="s">
        <v>452</v>
      </c>
      <c r="D107" s="98"/>
    </row>
    <row r="108" spans="1:4" ht="47.25" outlineLevel="1" collapsed="1">
      <c r="A108" s="97"/>
      <c r="B108" s="111" t="s">
        <v>768</v>
      </c>
      <c r="C108" s="97">
        <f>SUBTOTAL(3,C107:C107)</f>
        <v>0</v>
      </c>
      <c r="D108" s="98"/>
    </row>
    <row r="109" spans="1:4" ht="30" hidden="1" outlineLevel="2">
      <c r="A109" s="97">
        <v>78</v>
      </c>
      <c r="B109" s="97"/>
      <c r="C109" s="97" t="s">
        <v>455</v>
      </c>
      <c r="D109" s="98"/>
    </row>
    <row r="110" spans="1:4" ht="30" hidden="1" outlineLevel="2">
      <c r="A110" s="97">
        <v>79</v>
      </c>
      <c r="B110" s="97"/>
      <c r="C110" s="97" t="s">
        <v>455</v>
      </c>
      <c r="D110" s="98"/>
    </row>
    <row r="111" spans="1:4" ht="31.5" outlineLevel="1" collapsed="1">
      <c r="A111" s="97"/>
      <c r="B111" s="111" t="s">
        <v>769</v>
      </c>
      <c r="C111" s="97">
        <f>SUBTOTAL(3,C109:C110)</f>
        <v>0</v>
      </c>
      <c r="D111" s="98"/>
    </row>
    <row r="112" spans="1:4" ht="60" hidden="1" outlineLevel="2">
      <c r="A112" s="97">
        <v>80</v>
      </c>
      <c r="B112" s="97"/>
      <c r="C112" s="97" t="s">
        <v>458</v>
      </c>
      <c r="D112" s="98"/>
    </row>
    <row r="113" spans="1:4" ht="63" outlineLevel="1" collapsed="1">
      <c r="A113" s="97"/>
      <c r="B113" s="111" t="s">
        <v>770</v>
      </c>
      <c r="C113" s="97">
        <f>SUBTOTAL(3,C112:C112)</f>
        <v>0</v>
      </c>
      <c r="D113" s="98"/>
    </row>
    <row r="114" spans="1:4" ht="30" hidden="1" outlineLevel="2">
      <c r="A114" s="97">
        <v>81</v>
      </c>
      <c r="B114" s="97"/>
      <c r="C114" s="97" t="s">
        <v>461</v>
      </c>
      <c r="D114" s="98"/>
    </row>
    <row r="115" spans="1:4" ht="30" hidden="1" outlineLevel="2">
      <c r="A115" s="97">
        <v>82</v>
      </c>
      <c r="B115" s="97"/>
      <c r="C115" s="97" t="s">
        <v>461</v>
      </c>
      <c r="D115" s="98"/>
    </row>
    <row r="116" spans="1:4" ht="30" hidden="1" outlineLevel="2">
      <c r="A116" s="97">
        <v>83</v>
      </c>
      <c r="B116" s="97"/>
      <c r="C116" s="97" t="s">
        <v>461</v>
      </c>
      <c r="D116" s="98"/>
    </row>
    <row r="117" spans="1:4" ht="31.5" outlineLevel="1" collapsed="1">
      <c r="A117" s="97"/>
      <c r="B117" s="111" t="s">
        <v>771</v>
      </c>
      <c r="C117" s="97">
        <f>SUBTOTAL(3,C114:C116)</f>
        <v>0</v>
      </c>
      <c r="D117" s="98"/>
    </row>
    <row r="118" spans="1:4" ht="45" hidden="1" outlineLevel="2">
      <c r="A118" s="97">
        <v>84</v>
      </c>
      <c r="B118" s="97"/>
      <c r="C118" s="97" t="s">
        <v>468</v>
      </c>
      <c r="D118" s="98"/>
    </row>
    <row r="119" spans="1:4" ht="45" hidden="1" outlineLevel="2">
      <c r="A119" s="97">
        <v>85</v>
      </c>
      <c r="B119" s="97"/>
      <c r="C119" s="97" t="s">
        <v>468</v>
      </c>
      <c r="D119" s="98"/>
    </row>
    <row r="120" spans="1:4" ht="45" hidden="1" outlineLevel="2">
      <c r="A120" s="97">
        <v>86</v>
      </c>
      <c r="B120" s="97"/>
      <c r="C120" s="97" t="s">
        <v>468</v>
      </c>
      <c r="D120" s="98"/>
    </row>
    <row r="121" spans="1:4" ht="47.25" outlineLevel="1" collapsed="1">
      <c r="A121" s="97"/>
      <c r="B121" s="111" t="s">
        <v>772</v>
      </c>
      <c r="C121" s="97">
        <f>SUBTOTAL(3,C118:C120)</f>
        <v>0</v>
      </c>
      <c r="D121" s="98"/>
    </row>
    <row r="122" spans="1:4" ht="45" hidden="1" outlineLevel="2">
      <c r="A122" s="97">
        <v>87</v>
      </c>
      <c r="B122" s="97"/>
      <c r="C122" s="97" t="s">
        <v>472</v>
      </c>
      <c r="D122" s="98"/>
    </row>
    <row r="123" spans="1:4" ht="45" hidden="1" outlineLevel="2">
      <c r="A123" s="97">
        <v>88</v>
      </c>
      <c r="B123" s="97"/>
      <c r="C123" s="97" t="s">
        <v>472</v>
      </c>
      <c r="D123" s="98"/>
    </row>
    <row r="124" spans="1:4" ht="47.25" outlineLevel="1" collapsed="1">
      <c r="A124" s="97"/>
      <c r="B124" s="111" t="s">
        <v>773</v>
      </c>
      <c r="C124" s="97">
        <f>SUBTOTAL(3,C122:C123)</f>
        <v>0</v>
      </c>
      <c r="D124" s="98"/>
    </row>
    <row r="125" spans="1:4" ht="30" hidden="1" outlineLevel="2">
      <c r="A125" s="97">
        <v>89</v>
      </c>
      <c r="B125" s="97"/>
      <c r="C125" s="97" t="s">
        <v>477</v>
      </c>
      <c r="D125" s="98"/>
    </row>
    <row r="126" spans="1:4" ht="30" hidden="1" outlineLevel="2">
      <c r="A126" s="97">
        <v>90</v>
      </c>
      <c r="B126" s="97"/>
      <c r="C126" s="97" t="s">
        <v>477</v>
      </c>
      <c r="D126" s="98"/>
    </row>
    <row r="127" spans="1:4" ht="31.5" outlineLevel="1" collapsed="1">
      <c r="A127" s="97"/>
      <c r="B127" s="111" t="s">
        <v>774</v>
      </c>
      <c r="C127" s="97">
        <f>SUBTOTAL(3,C125:C126)</f>
        <v>0</v>
      </c>
      <c r="D127" s="98"/>
    </row>
    <row r="128" spans="1:4" ht="30" hidden="1" outlineLevel="2">
      <c r="A128" s="97">
        <v>91</v>
      </c>
      <c r="B128" s="97"/>
      <c r="C128" s="97" t="s">
        <v>480</v>
      </c>
      <c r="D128" s="110"/>
    </row>
    <row r="129" spans="1:4" ht="31.5" outlineLevel="1" collapsed="1">
      <c r="A129" s="97"/>
      <c r="B129" s="111" t="s">
        <v>775</v>
      </c>
      <c r="C129" s="97">
        <f>SUBTOTAL(3,C128:C128)</f>
        <v>0</v>
      </c>
      <c r="D129" s="110"/>
    </row>
    <row r="130" spans="1:4" hidden="1" outlineLevel="1">
      <c r="A130" s="97">
        <v>92</v>
      </c>
      <c r="B130" s="97"/>
      <c r="C130" s="97"/>
      <c r="D130" s="98"/>
    </row>
    <row r="131" spans="1:4" ht="60" hidden="1" outlineLevel="2">
      <c r="A131" s="97">
        <v>93</v>
      </c>
      <c r="B131" s="97"/>
      <c r="C131" s="97" t="s">
        <v>44</v>
      </c>
      <c r="D131" s="98"/>
    </row>
    <row r="132" spans="1:4" ht="60" hidden="1" outlineLevel="2">
      <c r="A132" s="97">
        <v>94</v>
      </c>
      <c r="B132" s="97"/>
      <c r="C132" s="97" t="s">
        <v>44</v>
      </c>
      <c r="D132" s="98"/>
    </row>
    <row r="133" spans="1:4" ht="63" outlineLevel="1" collapsed="1">
      <c r="A133" s="97"/>
      <c r="B133" s="111" t="s">
        <v>776</v>
      </c>
      <c r="C133" s="97">
        <f>SUBTOTAL(3,C131:C132)</f>
        <v>0</v>
      </c>
      <c r="D133" s="98"/>
    </row>
    <row r="134" spans="1:4" ht="45" hidden="1" outlineLevel="2">
      <c r="A134" s="97">
        <v>95</v>
      </c>
      <c r="B134" s="97"/>
      <c r="C134" s="97" t="s">
        <v>50</v>
      </c>
      <c r="D134" s="110"/>
    </row>
    <row r="135" spans="1:4" ht="63" outlineLevel="1" collapsed="1">
      <c r="A135" s="97"/>
      <c r="B135" s="111" t="s">
        <v>777</v>
      </c>
      <c r="C135" s="97">
        <f>SUBTOTAL(3,C134:C134)</f>
        <v>0</v>
      </c>
      <c r="D135" s="110"/>
    </row>
    <row r="136" spans="1:4" ht="45" hidden="1" outlineLevel="2">
      <c r="A136" s="97">
        <v>96</v>
      </c>
      <c r="B136" s="97"/>
      <c r="C136" s="97" t="s">
        <v>487</v>
      </c>
      <c r="D136" s="110"/>
    </row>
    <row r="137" spans="1:4" ht="45" hidden="1" outlineLevel="2">
      <c r="A137" s="97">
        <v>97</v>
      </c>
      <c r="B137" s="97"/>
      <c r="C137" s="97" t="s">
        <v>487</v>
      </c>
      <c r="D137" s="98"/>
    </row>
    <row r="138" spans="1:4" ht="45" hidden="1" outlineLevel="2">
      <c r="A138" s="97">
        <v>98</v>
      </c>
      <c r="B138" s="97"/>
      <c r="C138" s="97" t="s">
        <v>487</v>
      </c>
      <c r="D138" s="124"/>
    </row>
    <row r="139" spans="1:4" ht="47.25" outlineLevel="1" collapsed="1">
      <c r="A139" s="97"/>
      <c r="B139" s="111" t="s">
        <v>778</v>
      </c>
      <c r="C139" s="97">
        <f>SUBTOTAL(3,C136:C138)</f>
        <v>0</v>
      </c>
      <c r="D139" s="124"/>
    </row>
    <row r="140" spans="1:4" ht="30" hidden="1" outlineLevel="2">
      <c r="A140" s="97">
        <v>99</v>
      </c>
      <c r="B140" s="97"/>
      <c r="C140" s="97" t="s">
        <v>493</v>
      </c>
      <c r="D140" s="124"/>
    </row>
    <row r="141" spans="1:4" ht="47.25" outlineLevel="1" collapsed="1">
      <c r="A141" s="97"/>
      <c r="B141" s="111" t="s">
        <v>779</v>
      </c>
      <c r="C141" s="97">
        <f>SUBTOTAL(3,C140:C140)</f>
        <v>0</v>
      </c>
      <c r="D141" s="124"/>
    </row>
    <row r="142" spans="1:4" ht="45" hidden="1" outlineLevel="2">
      <c r="A142" s="97">
        <v>100</v>
      </c>
      <c r="B142" s="97"/>
      <c r="C142" s="97" t="s">
        <v>495</v>
      </c>
      <c r="D142" s="124"/>
    </row>
    <row r="143" spans="1:4" ht="47.25" outlineLevel="1" collapsed="1">
      <c r="A143" s="97"/>
      <c r="B143" s="111" t="s">
        <v>780</v>
      </c>
      <c r="C143" s="97">
        <f>SUBTOTAL(3,C142:C142)</f>
        <v>0</v>
      </c>
      <c r="D143" s="124"/>
    </row>
    <row r="144" spans="1:4" ht="30" hidden="1" outlineLevel="2">
      <c r="A144" s="97">
        <v>101</v>
      </c>
      <c r="B144" s="97"/>
      <c r="C144" s="97" t="s">
        <v>499</v>
      </c>
      <c r="D144" s="124"/>
    </row>
    <row r="145" spans="1:4" ht="30" hidden="1" outlineLevel="2">
      <c r="A145" s="97">
        <v>102</v>
      </c>
      <c r="B145" s="97"/>
      <c r="C145" s="97" t="s">
        <v>499</v>
      </c>
      <c r="D145" s="98"/>
    </row>
    <row r="146" spans="1:4" ht="30" hidden="1" outlineLevel="2">
      <c r="A146" s="97">
        <v>103</v>
      </c>
      <c r="B146" s="97"/>
      <c r="C146" s="97" t="s">
        <v>499</v>
      </c>
      <c r="D146" s="126"/>
    </row>
    <row r="147" spans="1:4" ht="47.25" outlineLevel="1" collapsed="1">
      <c r="A147" s="97"/>
      <c r="B147" s="111" t="s">
        <v>781</v>
      </c>
      <c r="C147" s="97">
        <f>SUBTOTAL(3,C144:C146)</f>
        <v>0</v>
      </c>
      <c r="D147" s="126"/>
    </row>
    <row r="148" spans="1:4" ht="45" hidden="1" outlineLevel="2">
      <c r="A148" s="97">
        <v>104</v>
      </c>
      <c r="B148" s="97"/>
      <c r="C148" s="97" t="s">
        <v>506</v>
      </c>
      <c r="D148" s="110"/>
    </row>
    <row r="149" spans="1:4" ht="63" outlineLevel="1" collapsed="1">
      <c r="A149" s="97"/>
      <c r="B149" s="111" t="s">
        <v>782</v>
      </c>
      <c r="C149" s="97">
        <f>SUBTOTAL(3,C148:C148)</f>
        <v>0</v>
      </c>
      <c r="D149" s="110"/>
    </row>
    <row r="150" spans="1:4" ht="45" hidden="1" outlineLevel="2">
      <c r="A150" s="97">
        <v>105</v>
      </c>
      <c r="B150" s="97"/>
      <c r="C150" s="97" t="s">
        <v>510</v>
      </c>
      <c r="D150" s="134"/>
    </row>
    <row r="151" spans="1:4" ht="47.25" outlineLevel="1" collapsed="1">
      <c r="A151" s="97"/>
      <c r="B151" s="111" t="s">
        <v>783</v>
      </c>
      <c r="C151" s="97">
        <f>SUBTOTAL(3,C150:C150)</f>
        <v>0</v>
      </c>
      <c r="D151" s="134"/>
    </row>
    <row r="152" spans="1:4" ht="45" hidden="1" outlineLevel="2">
      <c r="A152" s="97">
        <v>106</v>
      </c>
      <c r="B152" s="97"/>
      <c r="C152" s="97" t="s">
        <v>514</v>
      </c>
      <c r="D152" s="134"/>
    </row>
    <row r="153" spans="1:4" ht="45" hidden="1" outlineLevel="2">
      <c r="A153" s="97">
        <v>107</v>
      </c>
      <c r="B153" s="97"/>
      <c r="C153" s="97" t="s">
        <v>514</v>
      </c>
      <c r="D153" s="124"/>
    </row>
    <row r="154" spans="1:4" ht="47.25" outlineLevel="1" collapsed="1">
      <c r="A154" s="97"/>
      <c r="B154" s="111" t="s">
        <v>784</v>
      </c>
      <c r="C154" s="97">
        <f>SUBTOTAL(3,C152:C153)</f>
        <v>0</v>
      </c>
      <c r="D154" s="124"/>
    </row>
    <row r="155" spans="1:4" ht="45" hidden="1" outlineLevel="2">
      <c r="A155" s="97">
        <v>108</v>
      </c>
      <c r="B155" s="97"/>
      <c r="C155" s="97" t="s">
        <v>517</v>
      </c>
      <c r="D155" s="124"/>
    </row>
    <row r="156" spans="1:4" ht="45" hidden="1" outlineLevel="2">
      <c r="A156" s="97">
        <v>109</v>
      </c>
      <c r="B156" s="97"/>
      <c r="C156" s="97" t="s">
        <v>517</v>
      </c>
      <c r="D156" s="124"/>
    </row>
    <row r="157" spans="1:4" ht="45" hidden="1" outlineLevel="2">
      <c r="A157" s="97">
        <v>110</v>
      </c>
      <c r="B157" s="97"/>
      <c r="C157" s="97" t="s">
        <v>517</v>
      </c>
      <c r="D157" s="124"/>
    </row>
    <row r="158" spans="1:4" ht="45" hidden="1" outlineLevel="2">
      <c r="A158" s="97">
        <v>111</v>
      </c>
      <c r="B158" s="97"/>
      <c r="C158" s="97" t="s">
        <v>517</v>
      </c>
      <c r="D158" s="124"/>
    </row>
    <row r="159" spans="1:4" ht="45" hidden="1" outlineLevel="2">
      <c r="A159" s="97">
        <v>112</v>
      </c>
      <c r="B159" s="97"/>
      <c r="C159" s="97" t="s">
        <v>517</v>
      </c>
      <c r="D159" s="124"/>
    </row>
    <row r="160" spans="1:4" ht="45" hidden="1" outlineLevel="2">
      <c r="A160" s="97">
        <v>113</v>
      </c>
      <c r="B160" s="97"/>
      <c r="C160" s="97" t="s">
        <v>517</v>
      </c>
      <c r="D160" s="124"/>
    </row>
    <row r="161" spans="1:4" ht="45" hidden="1" outlineLevel="2">
      <c r="A161" s="97">
        <v>114</v>
      </c>
      <c r="B161" s="97"/>
      <c r="C161" s="97" t="s">
        <v>517</v>
      </c>
      <c r="D161" s="124"/>
    </row>
    <row r="162" spans="1:4" ht="45" hidden="1" outlineLevel="2">
      <c r="A162" s="97">
        <v>115</v>
      </c>
      <c r="B162" s="97"/>
      <c r="C162" s="97" t="s">
        <v>517</v>
      </c>
      <c r="D162" s="98"/>
    </row>
    <row r="163" spans="1:4" ht="47.25" outlineLevel="1" collapsed="1">
      <c r="A163" s="97"/>
      <c r="B163" s="111" t="s">
        <v>785</v>
      </c>
      <c r="C163" s="97">
        <f>SUBTOTAL(3,C155:C162)</f>
        <v>0</v>
      </c>
      <c r="D163" s="98"/>
    </row>
    <row r="164" spans="1:4" ht="45" hidden="1" outlineLevel="2">
      <c r="A164" s="97">
        <v>116</v>
      </c>
      <c r="B164" s="97"/>
      <c r="C164" s="97" t="s">
        <v>527</v>
      </c>
      <c r="D164" s="98"/>
    </row>
    <row r="165" spans="1:4" ht="47.25" outlineLevel="1" collapsed="1">
      <c r="A165" s="97"/>
      <c r="B165" s="111" t="s">
        <v>786</v>
      </c>
      <c r="C165" s="97">
        <f>SUBTOTAL(3,C164:C164)</f>
        <v>0</v>
      </c>
      <c r="D165" s="98"/>
    </row>
    <row r="166" spans="1:4" ht="30" hidden="1" outlineLevel="2">
      <c r="A166" s="97">
        <v>117</v>
      </c>
      <c r="B166" s="97"/>
      <c r="C166" s="97" t="s">
        <v>531</v>
      </c>
      <c r="D166" s="98"/>
    </row>
    <row r="167" spans="1:4" ht="47.25" outlineLevel="1" collapsed="1">
      <c r="A167" s="97"/>
      <c r="B167" s="111" t="s">
        <v>787</v>
      </c>
      <c r="C167" s="97">
        <f>SUBTOTAL(3,C166:C166)</f>
        <v>0</v>
      </c>
      <c r="D167" s="98"/>
    </row>
    <row r="168" spans="1:4" ht="30" hidden="1" outlineLevel="2">
      <c r="A168" s="97">
        <v>118</v>
      </c>
      <c r="B168" s="97"/>
      <c r="C168" s="97" t="s">
        <v>71</v>
      </c>
      <c r="D168" s="98"/>
    </row>
    <row r="169" spans="1:4" ht="47.25" outlineLevel="1" collapsed="1">
      <c r="A169" s="97"/>
      <c r="B169" s="111" t="s">
        <v>788</v>
      </c>
      <c r="C169" s="97">
        <f>SUBTOTAL(3,C168:C168)</f>
        <v>0</v>
      </c>
      <c r="D169" s="98"/>
    </row>
    <row r="170" spans="1:4" ht="45" hidden="1" outlineLevel="2">
      <c r="A170" s="97">
        <v>119</v>
      </c>
      <c r="B170" s="97"/>
      <c r="C170" s="97" t="s">
        <v>534</v>
      </c>
      <c r="D170" s="98"/>
    </row>
    <row r="171" spans="1:4" ht="45" hidden="1" outlineLevel="2">
      <c r="A171" s="97">
        <v>120</v>
      </c>
      <c r="B171" s="97"/>
      <c r="C171" s="97" t="s">
        <v>534</v>
      </c>
      <c r="D171" s="98"/>
    </row>
    <row r="172" spans="1:4" ht="63" outlineLevel="1" collapsed="1">
      <c r="A172" s="97"/>
      <c r="B172" s="111" t="s">
        <v>789</v>
      </c>
      <c r="C172" s="97">
        <f>SUBTOTAL(3,C170:C171)</f>
        <v>0</v>
      </c>
      <c r="D172" s="98"/>
    </row>
    <row r="173" spans="1:4" ht="45" hidden="1" outlineLevel="2">
      <c r="A173" s="97">
        <v>121</v>
      </c>
      <c r="B173" s="97"/>
      <c r="C173" s="97" t="s">
        <v>527</v>
      </c>
      <c r="D173" s="143"/>
    </row>
    <row r="174" spans="1:4" ht="47.25" outlineLevel="1" collapsed="1">
      <c r="A174" s="97"/>
      <c r="B174" s="111" t="s">
        <v>786</v>
      </c>
      <c r="C174" s="97">
        <f>SUBTOTAL(3,C173:C173)</f>
        <v>0</v>
      </c>
      <c r="D174" s="143"/>
    </row>
    <row r="175" spans="1:4" ht="45" hidden="1" outlineLevel="2">
      <c r="A175" s="97">
        <v>122</v>
      </c>
      <c r="B175" s="97"/>
      <c r="C175" s="97" t="s">
        <v>541</v>
      </c>
      <c r="D175" s="98"/>
    </row>
    <row r="176" spans="1:4" ht="47.25" outlineLevel="1" collapsed="1">
      <c r="A176" s="97"/>
      <c r="B176" s="111" t="s">
        <v>790</v>
      </c>
      <c r="C176" s="97">
        <f>SUBTOTAL(3,C175:C175)</f>
        <v>0</v>
      </c>
      <c r="D176" s="98"/>
    </row>
    <row r="177" spans="1:4" ht="30" hidden="1" outlineLevel="2">
      <c r="A177" s="97">
        <v>123</v>
      </c>
      <c r="B177" s="97"/>
      <c r="C177" s="97" t="s">
        <v>544</v>
      </c>
      <c r="D177" s="143"/>
    </row>
    <row r="178" spans="1:4" ht="31.5" outlineLevel="1" collapsed="1">
      <c r="A178" s="97"/>
      <c r="B178" s="111" t="s">
        <v>791</v>
      </c>
      <c r="C178" s="97">
        <f>SUBTOTAL(3,C177:C177)</f>
        <v>0</v>
      </c>
      <c r="D178" s="143"/>
    </row>
    <row r="179" spans="1:4" ht="45" hidden="1" outlineLevel="2">
      <c r="A179" s="97">
        <v>124</v>
      </c>
      <c r="B179" s="97"/>
      <c r="C179" s="97" t="s">
        <v>545</v>
      </c>
      <c r="D179" s="98"/>
    </row>
    <row r="180" spans="1:4" ht="47.25" outlineLevel="1" collapsed="1">
      <c r="A180" s="97"/>
      <c r="B180" s="111" t="s">
        <v>792</v>
      </c>
      <c r="C180" s="97">
        <f>SUBTOTAL(3,C179:C179)</f>
        <v>0</v>
      </c>
      <c r="D180" s="98"/>
    </row>
    <row r="181" spans="1:4" ht="30" hidden="1" outlineLevel="2">
      <c r="A181" s="97">
        <v>125</v>
      </c>
      <c r="B181" s="97"/>
      <c r="C181" s="97" t="s">
        <v>549</v>
      </c>
      <c r="D181" s="143"/>
    </row>
    <row r="182" spans="1:4" ht="47.25" outlineLevel="1" collapsed="1">
      <c r="A182" s="97"/>
      <c r="B182" s="111" t="s">
        <v>793</v>
      </c>
      <c r="C182" s="97">
        <f>SUBTOTAL(3,C181:C181)</f>
        <v>0</v>
      </c>
      <c r="D182" s="143"/>
    </row>
    <row r="183" spans="1:4" ht="45" hidden="1" outlineLevel="2">
      <c r="A183" s="97">
        <v>126</v>
      </c>
      <c r="B183" s="97"/>
      <c r="C183" s="97" t="s">
        <v>550</v>
      </c>
      <c r="D183" s="98"/>
    </row>
    <row r="184" spans="1:4" ht="47.25" outlineLevel="1" collapsed="1">
      <c r="A184" s="97"/>
      <c r="B184" s="111" t="s">
        <v>794</v>
      </c>
      <c r="C184" s="97">
        <f>SUBTOTAL(3,C183:C183)</f>
        <v>0</v>
      </c>
      <c r="D184" s="98"/>
    </row>
    <row r="185" spans="1:4" ht="30" hidden="1" outlineLevel="2">
      <c r="A185" s="97">
        <v>127</v>
      </c>
      <c r="B185" s="97"/>
      <c r="C185" s="97" t="s">
        <v>553</v>
      </c>
      <c r="D185" s="143"/>
    </row>
    <row r="186" spans="1:4" ht="47.25" outlineLevel="1" collapsed="1">
      <c r="A186" s="97"/>
      <c r="B186" s="111" t="s">
        <v>795</v>
      </c>
      <c r="C186" s="97">
        <f>SUBTOTAL(3,C185:C185)</f>
        <v>0</v>
      </c>
      <c r="D186" s="143"/>
    </row>
    <row r="187" spans="1:4" ht="45" hidden="1" outlineLevel="2">
      <c r="A187" s="97">
        <v>128</v>
      </c>
      <c r="B187" s="97"/>
      <c r="C187" s="97" t="s">
        <v>554</v>
      </c>
      <c r="D187" s="98"/>
    </row>
    <row r="188" spans="1:4" ht="47.25" outlineLevel="1" collapsed="1">
      <c r="A188" s="97"/>
      <c r="B188" s="111" t="s">
        <v>796</v>
      </c>
      <c r="C188" s="97">
        <f>SUBTOTAL(3,C187:C187)</f>
        <v>0</v>
      </c>
      <c r="D188" s="98"/>
    </row>
    <row r="189" spans="1:4" ht="30" hidden="1" outlineLevel="2">
      <c r="A189" s="97">
        <v>129</v>
      </c>
      <c r="B189" s="97"/>
      <c r="C189" s="97" t="s">
        <v>558</v>
      </c>
      <c r="D189" s="149"/>
    </row>
    <row r="190" spans="1:4" ht="31.5" outlineLevel="1" collapsed="1">
      <c r="A190" s="97"/>
      <c r="B190" s="111" t="s">
        <v>797</v>
      </c>
      <c r="C190" s="97">
        <f>SUBTOTAL(3,C189:C189)</f>
        <v>0</v>
      </c>
      <c r="D190" s="149"/>
    </row>
    <row r="191" spans="1:4" ht="45" hidden="1" outlineLevel="2">
      <c r="A191" s="97">
        <v>130</v>
      </c>
      <c r="B191" s="97"/>
      <c r="C191" s="97" t="s">
        <v>95</v>
      </c>
      <c r="D191" s="124"/>
    </row>
    <row r="192" spans="1:4" ht="47.25" outlineLevel="1" collapsed="1">
      <c r="A192" s="97"/>
      <c r="B192" s="111" t="s">
        <v>798</v>
      </c>
      <c r="C192" s="97">
        <f>SUBTOTAL(3,C191:C191)</f>
        <v>0</v>
      </c>
      <c r="D192" s="124"/>
    </row>
    <row r="193" spans="1:4" ht="30" hidden="1" outlineLevel="2">
      <c r="A193" s="97">
        <v>131</v>
      </c>
      <c r="B193" s="97"/>
      <c r="C193" s="97" t="s">
        <v>499</v>
      </c>
      <c r="D193" s="149"/>
    </row>
    <row r="194" spans="1:4" ht="47.25" outlineLevel="1" collapsed="1">
      <c r="A194" s="97"/>
      <c r="B194" s="111" t="s">
        <v>781</v>
      </c>
      <c r="C194" s="97">
        <f>SUBTOTAL(3,C193:C193)</f>
        <v>0</v>
      </c>
      <c r="D194" s="149"/>
    </row>
    <row r="195" spans="1:4" ht="45" hidden="1" outlineLevel="2">
      <c r="A195" s="97">
        <v>132</v>
      </c>
      <c r="B195" s="97"/>
      <c r="C195" s="97" t="s">
        <v>562</v>
      </c>
      <c r="D195" s="124"/>
    </row>
    <row r="196" spans="1:4" ht="47.25" outlineLevel="1" collapsed="1">
      <c r="A196" s="97"/>
      <c r="B196" s="111" t="s">
        <v>799</v>
      </c>
      <c r="C196" s="97">
        <f>SUBTOTAL(3,C195:C195)</f>
        <v>0</v>
      </c>
      <c r="D196" s="124"/>
    </row>
    <row r="197" spans="1:4" ht="30" hidden="1" outlineLevel="2">
      <c r="A197" s="97">
        <v>133</v>
      </c>
      <c r="B197" s="97"/>
      <c r="C197" s="97" t="s">
        <v>567</v>
      </c>
      <c r="D197" s="151"/>
    </row>
    <row r="198" spans="1:4" ht="31.5" outlineLevel="1" collapsed="1">
      <c r="A198" s="97"/>
      <c r="B198" s="111" t="s">
        <v>800</v>
      </c>
      <c r="C198" s="97">
        <f>SUBTOTAL(3,C197:C197)</f>
        <v>0</v>
      </c>
      <c r="D198" s="151"/>
    </row>
    <row r="199" spans="1:4" ht="45" hidden="1" outlineLevel="2">
      <c r="A199" s="97">
        <v>134</v>
      </c>
      <c r="B199" s="97"/>
      <c r="C199" s="97" t="s">
        <v>568</v>
      </c>
      <c r="D199" s="124"/>
    </row>
    <row r="200" spans="1:4" ht="47.25" outlineLevel="1" collapsed="1">
      <c r="A200" s="97"/>
      <c r="B200" s="111" t="s">
        <v>801</v>
      </c>
      <c r="C200" s="97">
        <f>SUBTOTAL(3,C199:C199)</f>
        <v>0</v>
      </c>
      <c r="D200" s="124"/>
    </row>
    <row r="201" spans="1:4" ht="30" hidden="1" outlineLevel="2">
      <c r="A201" s="97">
        <v>135</v>
      </c>
      <c r="B201" s="97"/>
      <c r="C201" s="97" t="s">
        <v>571</v>
      </c>
      <c r="D201" s="124"/>
    </row>
    <row r="202" spans="1:4" ht="47.25" outlineLevel="1" collapsed="1">
      <c r="A202" s="97"/>
      <c r="B202" s="111" t="s">
        <v>802</v>
      </c>
      <c r="C202" s="97">
        <f>SUBTOTAL(3,C201:C201)</f>
        <v>0</v>
      </c>
      <c r="D202" s="124"/>
    </row>
    <row r="203" spans="1:4" ht="45" hidden="1" outlineLevel="2">
      <c r="A203" s="97">
        <v>136</v>
      </c>
      <c r="B203" s="97"/>
      <c r="C203" s="97" t="s">
        <v>527</v>
      </c>
      <c r="D203" s="124"/>
    </row>
    <row r="204" spans="1:4" ht="47.25" outlineLevel="1" collapsed="1">
      <c r="A204" s="97"/>
      <c r="B204" s="111" t="s">
        <v>786</v>
      </c>
      <c r="C204" s="97">
        <f>SUBTOTAL(3,C203:C203)</f>
        <v>0</v>
      </c>
      <c r="D204" s="124"/>
    </row>
    <row r="205" spans="1:4" ht="45" hidden="1" outlineLevel="2">
      <c r="A205" s="97">
        <v>137</v>
      </c>
      <c r="B205" s="97"/>
      <c r="C205" s="97" t="s">
        <v>574</v>
      </c>
      <c r="D205" s="98"/>
    </row>
    <row r="206" spans="1:4" ht="47.25" outlineLevel="1" collapsed="1">
      <c r="A206" s="97"/>
      <c r="B206" s="111" t="s">
        <v>803</v>
      </c>
      <c r="C206" s="97">
        <f>SUBTOTAL(3,C205:C205)</f>
        <v>0</v>
      </c>
      <c r="D206" s="98"/>
    </row>
    <row r="207" spans="1:4" ht="30" hidden="1" outlineLevel="2">
      <c r="A207" s="97">
        <v>138</v>
      </c>
      <c r="B207" s="97"/>
      <c r="C207" s="97" t="s">
        <v>558</v>
      </c>
      <c r="D207" s="124"/>
    </row>
    <row r="208" spans="1:4" ht="31.5" outlineLevel="1" collapsed="1">
      <c r="A208" s="97"/>
      <c r="B208" s="111" t="s">
        <v>797</v>
      </c>
      <c r="C208" s="97">
        <f>SUBTOTAL(3,C207:C207)</f>
        <v>0</v>
      </c>
      <c r="D208" s="124"/>
    </row>
    <row r="209" spans="1:4" ht="30" hidden="1" outlineLevel="2">
      <c r="A209" s="97">
        <v>139</v>
      </c>
      <c r="B209" s="97"/>
      <c r="C209" s="97" t="s">
        <v>549</v>
      </c>
      <c r="D209" s="124"/>
    </row>
    <row r="210" spans="1:4" ht="47.25" outlineLevel="1" collapsed="1">
      <c r="A210" s="97"/>
      <c r="B210" s="111" t="s">
        <v>793</v>
      </c>
      <c r="C210" s="97">
        <f>SUBTOTAL(3,C209:C209)</f>
        <v>0</v>
      </c>
      <c r="D210" s="124"/>
    </row>
    <row r="211" spans="1:4" ht="45" hidden="1" outlineLevel="2">
      <c r="A211" s="97">
        <v>140</v>
      </c>
      <c r="B211" s="97"/>
      <c r="C211" s="97" t="s">
        <v>107</v>
      </c>
      <c r="D211" s="149"/>
    </row>
    <row r="212" spans="1:4" ht="47.25" outlineLevel="1" collapsed="1">
      <c r="A212" s="97"/>
      <c r="B212" s="111" t="s">
        <v>804</v>
      </c>
      <c r="C212" s="97">
        <f>SUBTOTAL(3,C211:C211)</f>
        <v>0</v>
      </c>
      <c r="D212" s="149"/>
    </row>
    <row r="213" spans="1:4" ht="30" hidden="1" outlineLevel="2">
      <c r="A213" s="97">
        <v>141</v>
      </c>
      <c r="B213" s="97"/>
      <c r="C213" s="97" t="s">
        <v>583</v>
      </c>
      <c r="D213" s="124"/>
    </row>
    <row r="214" spans="1:4" ht="31.5" outlineLevel="1" collapsed="1">
      <c r="A214" s="97"/>
      <c r="B214" s="111" t="s">
        <v>805</v>
      </c>
      <c r="C214" s="97">
        <f>SUBTOTAL(3,C213:C213)</f>
        <v>0</v>
      </c>
      <c r="D214" s="124"/>
    </row>
    <row r="215" spans="1:4" ht="30" hidden="1" outlineLevel="2">
      <c r="A215" s="97">
        <v>142</v>
      </c>
      <c r="B215" s="97"/>
      <c r="C215" s="97" t="s">
        <v>101</v>
      </c>
      <c r="D215" s="124"/>
    </row>
    <row r="216" spans="1:4" ht="31.5" outlineLevel="1" collapsed="1">
      <c r="A216" s="97"/>
      <c r="B216" s="111" t="s">
        <v>806</v>
      </c>
      <c r="C216" s="97">
        <f>SUBTOTAL(3,C215:C215)</f>
        <v>0</v>
      </c>
      <c r="D216" s="124"/>
    </row>
    <row r="217" spans="1:4" ht="30" hidden="1" outlineLevel="2">
      <c r="A217" s="97">
        <v>143</v>
      </c>
      <c r="B217" s="97"/>
      <c r="C217" s="97" t="s">
        <v>590</v>
      </c>
      <c r="D217" s="124"/>
    </row>
    <row r="218" spans="1:4" ht="47.25" outlineLevel="1" collapsed="1">
      <c r="A218" s="97"/>
      <c r="B218" s="111" t="s">
        <v>807</v>
      </c>
      <c r="C218" s="97">
        <f>SUBTOTAL(3,C217:C217)</f>
        <v>0</v>
      </c>
      <c r="D218" s="124"/>
    </row>
    <row r="219" spans="1:4" ht="45" hidden="1" outlineLevel="2">
      <c r="A219" s="97">
        <v>144</v>
      </c>
      <c r="B219" s="97"/>
      <c r="C219" s="97" t="s">
        <v>593</v>
      </c>
      <c r="D219" s="124"/>
    </row>
    <row r="220" spans="1:4" ht="63" outlineLevel="1" collapsed="1">
      <c r="A220" s="97"/>
      <c r="B220" s="111" t="s">
        <v>808</v>
      </c>
      <c r="C220" s="97">
        <f>SUBTOTAL(3,C219:C219)</f>
        <v>0</v>
      </c>
      <c r="D220" s="124"/>
    </row>
    <row r="221" spans="1:4" ht="30" hidden="1" outlineLevel="2">
      <c r="A221" s="97">
        <v>145</v>
      </c>
      <c r="B221" s="97"/>
      <c r="C221" s="97" t="s">
        <v>101</v>
      </c>
      <c r="D221" s="149"/>
    </row>
    <row r="222" spans="1:4" ht="31.5" outlineLevel="1" collapsed="1">
      <c r="A222" s="97"/>
      <c r="B222" s="111" t="s">
        <v>806</v>
      </c>
      <c r="C222" s="97">
        <f>SUBTOTAL(3,C221:C221)</f>
        <v>0</v>
      </c>
      <c r="D222" s="149"/>
    </row>
    <row r="223" spans="1:4" ht="60" hidden="1" outlineLevel="2">
      <c r="A223" s="97">
        <v>146</v>
      </c>
      <c r="B223" s="97"/>
      <c r="C223" s="97" t="s">
        <v>599</v>
      </c>
      <c r="D223" s="124"/>
    </row>
    <row r="224" spans="1:4" ht="47.25" outlineLevel="1" collapsed="1">
      <c r="A224" s="97"/>
      <c r="B224" s="111" t="s">
        <v>809</v>
      </c>
      <c r="C224" s="97">
        <f>SUBTOTAL(3,C223:C223)</f>
        <v>0</v>
      </c>
      <c r="D224" s="124"/>
    </row>
    <row r="225" spans="1:4" ht="30" hidden="1" outlineLevel="2">
      <c r="A225" s="97">
        <v>147</v>
      </c>
      <c r="B225" s="97"/>
      <c r="C225" s="97" t="s">
        <v>590</v>
      </c>
      <c r="D225" s="124"/>
    </row>
    <row r="226" spans="1:4" ht="47.25" outlineLevel="1" collapsed="1">
      <c r="A226" s="97"/>
      <c r="B226" s="111" t="s">
        <v>807</v>
      </c>
      <c r="C226" s="97">
        <f>SUBTOTAL(3,C225:C225)</f>
        <v>0</v>
      </c>
      <c r="D226" s="124"/>
    </row>
    <row r="227" spans="1:4" ht="45" hidden="1" outlineLevel="2">
      <c r="A227" s="97">
        <v>148</v>
      </c>
      <c r="B227" s="97"/>
      <c r="C227" s="97" t="s">
        <v>604</v>
      </c>
      <c r="D227" s="124"/>
    </row>
    <row r="228" spans="1:4" ht="45" hidden="1" outlineLevel="2">
      <c r="A228" s="97">
        <v>149</v>
      </c>
      <c r="B228" s="97"/>
      <c r="C228" s="97" t="s">
        <v>604</v>
      </c>
      <c r="D228" s="124"/>
    </row>
    <row r="229" spans="1:4" ht="63" outlineLevel="1" collapsed="1">
      <c r="A229" s="97"/>
      <c r="B229" s="111" t="s">
        <v>810</v>
      </c>
      <c r="C229" s="97">
        <f>SUBTOTAL(3,C227:C228)</f>
        <v>0</v>
      </c>
      <c r="D229" s="124"/>
    </row>
    <row r="230" spans="1:4" ht="30" hidden="1" outlineLevel="2">
      <c r="A230" s="97">
        <v>150</v>
      </c>
      <c r="B230" s="97"/>
      <c r="C230" s="97" t="s">
        <v>129</v>
      </c>
      <c r="D230" s="124"/>
    </row>
    <row r="231" spans="1:4" ht="47.25" outlineLevel="1" collapsed="1">
      <c r="A231" s="97"/>
      <c r="B231" s="111" t="s">
        <v>811</v>
      </c>
      <c r="C231" s="97">
        <f>SUBTOTAL(3,C230:C230)</f>
        <v>0</v>
      </c>
      <c r="D231" s="124"/>
    </row>
    <row r="232" spans="1:4" ht="30" hidden="1" outlineLevel="2">
      <c r="A232" s="97">
        <v>151</v>
      </c>
      <c r="B232" s="97"/>
      <c r="C232" s="97" t="s">
        <v>571</v>
      </c>
      <c r="D232" s="124"/>
    </row>
    <row r="233" spans="1:4" ht="47.25" outlineLevel="1" collapsed="1">
      <c r="A233" s="97"/>
      <c r="B233" s="111" t="s">
        <v>802</v>
      </c>
      <c r="C233" s="97">
        <f>SUBTOTAL(3,C232:C232)</f>
        <v>0</v>
      </c>
      <c r="D233" s="124"/>
    </row>
    <row r="234" spans="1:4" ht="45" hidden="1" outlineLevel="2">
      <c r="A234" s="97">
        <v>152</v>
      </c>
      <c r="B234" s="97"/>
      <c r="C234" s="97" t="s">
        <v>614</v>
      </c>
      <c r="D234" s="124"/>
    </row>
    <row r="235" spans="1:4" ht="47.25" outlineLevel="1" collapsed="1">
      <c r="A235" s="97"/>
      <c r="B235" s="111" t="s">
        <v>812</v>
      </c>
      <c r="C235" s="97">
        <f>SUBTOTAL(3,C234:C234)</f>
        <v>0</v>
      </c>
      <c r="D235" s="124"/>
    </row>
    <row r="236" spans="1:4" ht="45" hidden="1" outlineLevel="2">
      <c r="A236" s="97">
        <v>153</v>
      </c>
      <c r="B236" s="97"/>
      <c r="C236" s="97" t="s">
        <v>617</v>
      </c>
      <c r="D236" s="167"/>
    </row>
    <row r="237" spans="1:4" ht="63" outlineLevel="1" collapsed="1">
      <c r="A237" s="97"/>
      <c r="B237" s="111" t="s">
        <v>813</v>
      </c>
      <c r="C237" s="97">
        <f>SUBTOTAL(3,C236:C236)</f>
        <v>0</v>
      </c>
      <c r="D237" s="167"/>
    </row>
    <row r="238" spans="1:4" ht="30" hidden="1" outlineLevel="2">
      <c r="A238" s="97">
        <v>154</v>
      </c>
      <c r="B238" s="97"/>
      <c r="C238" s="97" t="s">
        <v>620</v>
      </c>
      <c r="D238" s="167"/>
    </row>
    <row r="239" spans="1:4" ht="47.25" outlineLevel="1" collapsed="1">
      <c r="A239" s="97"/>
      <c r="B239" s="111" t="s">
        <v>814</v>
      </c>
      <c r="C239" s="97">
        <f>SUBTOTAL(3,C238:C238)</f>
        <v>0</v>
      </c>
      <c r="D239" s="167"/>
    </row>
    <row r="240" spans="1:4" ht="45" hidden="1" outlineLevel="2">
      <c r="A240" s="97">
        <v>155</v>
      </c>
      <c r="B240" s="97"/>
      <c r="C240" s="97" t="s">
        <v>623</v>
      </c>
      <c r="D240" s="167"/>
    </row>
    <row r="241" spans="1:4" ht="47.25" outlineLevel="1" collapsed="1">
      <c r="A241" s="97"/>
      <c r="B241" s="111" t="s">
        <v>815</v>
      </c>
      <c r="C241" s="97">
        <f>SUBTOTAL(3,C240:C240)</f>
        <v>0</v>
      </c>
      <c r="D241" s="167"/>
    </row>
    <row r="242" spans="1:4" ht="60" hidden="1" outlineLevel="2">
      <c r="A242" s="97">
        <v>156</v>
      </c>
      <c r="B242" s="97"/>
      <c r="C242" s="97" t="s">
        <v>626</v>
      </c>
      <c r="D242" s="124"/>
    </row>
    <row r="243" spans="1:4" ht="63" outlineLevel="1" collapsed="1">
      <c r="A243" s="97"/>
      <c r="B243" s="111" t="s">
        <v>816</v>
      </c>
      <c r="C243" s="97">
        <f>SUBTOTAL(3,C242:C242)</f>
        <v>0</v>
      </c>
      <c r="D243" s="124"/>
    </row>
    <row r="244" spans="1:4" ht="45" hidden="1" outlineLevel="2">
      <c r="A244" s="97">
        <v>157</v>
      </c>
      <c r="B244" s="97"/>
      <c r="C244" s="97" t="s">
        <v>614</v>
      </c>
      <c r="D244" s="167"/>
    </row>
    <row r="245" spans="1:4" ht="47.25" outlineLevel="1" collapsed="1">
      <c r="A245" s="97"/>
      <c r="B245" s="111" t="s">
        <v>812</v>
      </c>
      <c r="C245" s="97">
        <f>SUBTOTAL(3,C244:C244)</f>
        <v>0</v>
      </c>
      <c r="D245" s="167"/>
    </row>
    <row r="246" spans="1:4" ht="30" hidden="1" outlineLevel="2">
      <c r="A246" s="97">
        <v>158</v>
      </c>
      <c r="B246" s="97"/>
      <c r="C246" s="97" t="s">
        <v>631</v>
      </c>
      <c r="D246" s="168"/>
    </row>
    <row r="247" spans="1:4" ht="47.25" outlineLevel="1" collapsed="1">
      <c r="A247" s="97"/>
      <c r="B247" s="111" t="s">
        <v>817</v>
      </c>
      <c r="C247" s="97">
        <f>SUBTOTAL(3,C246:C246)</f>
        <v>0</v>
      </c>
      <c r="D247" s="168"/>
    </row>
    <row r="248" spans="1:4" ht="45" hidden="1" outlineLevel="2">
      <c r="A248" s="97">
        <v>159</v>
      </c>
      <c r="B248" s="97"/>
      <c r="C248" s="97" t="s">
        <v>634</v>
      </c>
      <c r="D248" s="167"/>
    </row>
    <row r="249" spans="1:4" ht="63" outlineLevel="1" collapsed="1">
      <c r="A249" s="97"/>
      <c r="B249" s="111" t="s">
        <v>818</v>
      </c>
      <c r="C249" s="97">
        <f>SUBTOTAL(3,C248:C248)</f>
        <v>0</v>
      </c>
      <c r="D249" s="167"/>
    </row>
    <row r="250" spans="1:4" ht="30" hidden="1" outlineLevel="2">
      <c r="A250" s="97">
        <v>160</v>
      </c>
      <c r="B250" s="97"/>
      <c r="C250" s="97" t="s">
        <v>620</v>
      </c>
      <c r="D250" s="167"/>
    </row>
    <row r="251" spans="1:4" ht="47.25" outlineLevel="1" collapsed="1">
      <c r="A251" s="97"/>
      <c r="B251" s="111" t="s">
        <v>814</v>
      </c>
      <c r="C251" s="97">
        <f>SUBTOTAL(3,C250:C250)</f>
        <v>0</v>
      </c>
      <c r="D251" s="167"/>
    </row>
    <row r="252" spans="1:4" ht="45" hidden="1" outlineLevel="2">
      <c r="A252" s="97">
        <v>161</v>
      </c>
      <c r="B252" s="97"/>
      <c r="C252" s="97" t="s">
        <v>639</v>
      </c>
      <c r="D252" s="168"/>
    </row>
    <row r="253" spans="1:4" ht="47.25" outlineLevel="1" collapsed="1">
      <c r="A253" s="97"/>
      <c r="B253" s="111" t="s">
        <v>819</v>
      </c>
      <c r="C253" s="97">
        <f>SUBTOTAL(3,C252:C252)</f>
        <v>0</v>
      </c>
      <c r="D253" s="168"/>
    </row>
    <row r="254" spans="1:4" ht="60" hidden="1" outlineLevel="2">
      <c r="A254" s="97">
        <v>162</v>
      </c>
      <c r="B254" s="97"/>
      <c r="C254" s="97" t="s">
        <v>642</v>
      </c>
      <c r="D254" s="167"/>
    </row>
    <row r="255" spans="1:4" ht="63" outlineLevel="1" collapsed="1">
      <c r="A255" s="97"/>
      <c r="B255" s="111" t="s">
        <v>820</v>
      </c>
      <c r="C255" s="97">
        <f>SUBTOTAL(3,C254:C254)</f>
        <v>0</v>
      </c>
      <c r="D255" s="167"/>
    </row>
    <row r="256" spans="1:4" ht="30" hidden="1" outlineLevel="2">
      <c r="A256" s="97">
        <v>163</v>
      </c>
      <c r="B256" s="97"/>
      <c r="C256" s="97" t="s">
        <v>645</v>
      </c>
      <c r="D256" s="167"/>
    </row>
    <row r="257" spans="1:4" ht="47.25" outlineLevel="1" collapsed="1">
      <c r="A257" s="97"/>
      <c r="B257" s="111" t="s">
        <v>821</v>
      </c>
      <c r="C257" s="97">
        <f>SUBTOTAL(3,C256:C256)</f>
        <v>0</v>
      </c>
      <c r="D257" s="167"/>
    </row>
    <row r="258" spans="1:4" ht="30" hidden="1" outlineLevel="2">
      <c r="A258" s="97">
        <v>164</v>
      </c>
      <c r="B258" s="97"/>
      <c r="C258" s="97" t="s">
        <v>620</v>
      </c>
      <c r="D258" s="167"/>
    </row>
    <row r="259" spans="1:4" ht="47.25" outlineLevel="1" collapsed="1">
      <c r="A259" s="97"/>
      <c r="B259" s="111" t="s">
        <v>814</v>
      </c>
      <c r="C259" s="97">
        <f>SUBTOTAL(3,C258:C258)</f>
        <v>0</v>
      </c>
      <c r="D259" s="167"/>
    </row>
    <row r="260" spans="1:4" ht="30" hidden="1" outlineLevel="2">
      <c r="A260" s="97">
        <v>165</v>
      </c>
      <c r="B260" s="97"/>
      <c r="C260" s="97" t="s">
        <v>649</v>
      </c>
      <c r="D260" s="169"/>
    </row>
    <row r="261" spans="1:4" ht="47.25" outlineLevel="1" collapsed="1">
      <c r="A261" s="97"/>
      <c r="B261" s="111" t="s">
        <v>822</v>
      </c>
      <c r="C261" s="97">
        <f>SUBTOTAL(3,C260:C260)</f>
        <v>0</v>
      </c>
      <c r="D261" s="169"/>
    </row>
    <row r="262" spans="1:4" ht="45" hidden="1" outlineLevel="2">
      <c r="A262" s="97">
        <v>166</v>
      </c>
      <c r="B262" s="97"/>
      <c r="C262" s="97" t="s">
        <v>506</v>
      </c>
      <c r="D262" s="167"/>
    </row>
    <row r="263" spans="1:4" ht="63" outlineLevel="1" collapsed="1">
      <c r="A263" s="97"/>
      <c r="B263" s="111" t="s">
        <v>782</v>
      </c>
      <c r="C263" s="97">
        <f>SUBTOTAL(3,C262:C262)</f>
        <v>0</v>
      </c>
      <c r="D263" s="167"/>
    </row>
    <row r="264" spans="1:4" ht="45" hidden="1" outlineLevel="2">
      <c r="A264" s="97">
        <v>167</v>
      </c>
      <c r="B264" s="97"/>
      <c r="C264" s="97" t="s">
        <v>654</v>
      </c>
      <c r="D264" s="167"/>
    </row>
    <row r="265" spans="1:4" ht="63" outlineLevel="1" collapsed="1">
      <c r="A265" s="97"/>
      <c r="B265" s="111" t="s">
        <v>823</v>
      </c>
      <c r="C265" s="97">
        <f>SUBTOTAL(3,C264:C264)</f>
        <v>0</v>
      </c>
      <c r="D265" s="167"/>
    </row>
    <row r="266" spans="1:4" ht="45" hidden="1" outlineLevel="2">
      <c r="A266" s="97">
        <v>168</v>
      </c>
      <c r="B266" s="97"/>
      <c r="C266" s="97" t="s">
        <v>634</v>
      </c>
      <c r="D266" s="167"/>
    </row>
    <row r="267" spans="1:4" ht="63" outlineLevel="1" collapsed="1">
      <c r="A267" s="97"/>
      <c r="B267" s="111" t="s">
        <v>818</v>
      </c>
      <c r="C267" s="97">
        <f>SUBTOTAL(3,C266:C266)</f>
        <v>0</v>
      </c>
      <c r="D267" s="167"/>
    </row>
    <row r="268" spans="1:4" ht="45" hidden="1" outlineLevel="2">
      <c r="A268" s="97">
        <v>169</v>
      </c>
      <c r="B268" s="97"/>
      <c r="C268" s="97" t="s">
        <v>659</v>
      </c>
      <c r="D268" s="170"/>
    </row>
    <row r="269" spans="1:4" ht="47.25" outlineLevel="1" collapsed="1">
      <c r="A269" s="97"/>
      <c r="B269" s="111" t="s">
        <v>824</v>
      </c>
      <c r="C269" s="97">
        <f>SUBTOTAL(3,C268:C268)</f>
        <v>0</v>
      </c>
      <c r="D269" s="170"/>
    </row>
    <row r="270" spans="1:4" ht="60" hidden="1" outlineLevel="2">
      <c r="A270" s="97">
        <v>170</v>
      </c>
      <c r="B270" s="97"/>
      <c r="C270" s="97" t="s">
        <v>642</v>
      </c>
      <c r="D270" s="168"/>
    </row>
    <row r="271" spans="1:4" ht="63" outlineLevel="1" collapsed="1">
      <c r="A271" s="97"/>
      <c r="B271" s="111" t="s">
        <v>820</v>
      </c>
      <c r="C271" s="97">
        <f>SUBTOTAL(3,C270:C270)</f>
        <v>0</v>
      </c>
      <c r="D271" s="168"/>
    </row>
    <row r="272" spans="1:4" ht="30" hidden="1" outlineLevel="2">
      <c r="A272" s="97">
        <v>171</v>
      </c>
      <c r="B272" s="97"/>
      <c r="C272" s="97" t="s">
        <v>663</v>
      </c>
      <c r="D272" s="169"/>
    </row>
    <row r="273" spans="1:4" ht="47.25" outlineLevel="1" collapsed="1">
      <c r="A273" s="97"/>
      <c r="B273" s="111" t="s">
        <v>825</v>
      </c>
      <c r="C273" s="97">
        <f>SUBTOTAL(3,C272:C272)</f>
        <v>0</v>
      </c>
      <c r="D273" s="169"/>
    </row>
    <row r="274" spans="1:4" ht="60" hidden="1" outlineLevel="2">
      <c r="A274" s="97">
        <v>172</v>
      </c>
      <c r="B274" s="97"/>
      <c r="C274" s="97" t="s">
        <v>666</v>
      </c>
      <c r="D274" s="170"/>
    </row>
    <row r="275" spans="1:4" ht="63" outlineLevel="1" collapsed="1">
      <c r="A275" s="97"/>
      <c r="B275" s="111" t="s">
        <v>826</v>
      </c>
      <c r="C275" s="97">
        <f>SUBTOTAL(3,C274:C274)</f>
        <v>0</v>
      </c>
      <c r="D275" s="170"/>
    </row>
    <row r="276" spans="1:4" ht="45" hidden="1" outlineLevel="2">
      <c r="A276" s="97">
        <v>173</v>
      </c>
      <c r="B276" s="97"/>
      <c r="C276" s="97" t="s">
        <v>669</v>
      </c>
      <c r="D276" s="169"/>
    </row>
    <row r="277" spans="1:4" ht="47.25" outlineLevel="1" collapsed="1">
      <c r="A277" s="97"/>
      <c r="B277" s="111" t="s">
        <v>827</v>
      </c>
      <c r="C277" s="97">
        <f>SUBTOTAL(3,C276:C276)</f>
        <v>0</v>
      </c>
      <c r="D277" s="169"/>
    </row>
    <row r="278" spans="1:4" ht="30" hidden="1" outlineLevel="2">
      <c r="A278" s="97">
        <v>174</v>
      </c>
      <c r="B278" s="97"/>
      <c r="C278" s="97" t="s">
        <v>663</v>
      </c>
      <c r="D278" s="169"/>
    </row>
    <row r="279" spans="1:4" ht="47.25" outlineLevel="1" collapsed="1">
      <c r="A279" s="97"/>
      <c r="B279" s="111" t="s">
        <v>825</v>
      </c>
      <c r="C279" s="97">
        <f>SUBTOTAL(3,C278:C278)</f>
        <v>0</v>
      </c>
      <c r="D279" s="169"/>
    </row>
    <row r="280" spans="1:4" ht="60" hidden="1" outlineLevel="2">
      <c r="A280" s="97">
        <v>175</v>
      </c>
      <c r="B280" s="97"/>
      <c r="C280" s="97" t="s">
        <v>676</v>
      </c>
      <c r="D280" s="169"/>
    </row>
    <row r="281" spans="1:4" ht="78.75" outlineLevel="1" collapsed="1">
      <c r="A281" s="97"/>
      <c r="B281" s="111" t="s">
        <v>828</v>
      </c>
      <c r="C281" s="97">
        <f>SUBTOTAL(3,C280:C280)</f>
        <v>0</v>
      </c>
      <c r="D281" s="169"/>
    </row>
    <row r="282" spans="1:4" ht="30" hidden="1" outlineLevel="2">
      <c r="A282" s="97">
        <v>176</v>
      </c>
      <c r="B282" s="97"/>
      <c r="C282" s="97" t="s">
        <v>590</v>
      </c>
      <c r="D282" s="169"/>
    </row>
    <row r="283" spans="1:4" ht="47.25" outlineLevel="1" collapsed="1">
      <c r="A283" s="97"/>
      <c r="B283" s="111" t="s">
        <v>807</v>
      </c>
      <c r="C283" s="97">
        <f>SUBTOTAL(3,C282:C282)</f>
        <v>0</v>
      </c>
      <c r="D283" s="169"/>
    </row>
    <row r="284" spans="1:4" ht="45" hidden="1" outlineLevel="2">
      <c r="A284" s="97">
        <v>177</v>
      </c>
      <c r="B284" s="97"/>
      <c r="C284" s="97" t="s">
        <v>682</v>
      </c>
      <c r="D284" s="169"/>
    </row>
    <row r="285" spans="1:4" ht="47.25" outlineLevel="1" collapsed="1">
      <c r="A285" s="97"/>
      <c r="B285" s="111" t="s">
        <v>829</v>
      </c>
      <c r="C285" s="97">
        <f>SUBTOTAL(3,C284:C284)</f>
        <v>0</v>
      </c>
      <c r="D285" s="169"/>
    </row>
    <row r="286" spans="1:4" ht="30" hidden="1" outlineLevel="2">
      <c r="A286" s="97">
        <v>178</v>
      </c>
      <c r="B286" s="97"/>
      <c r="C286" s="97" t="s">
        <v>620</v>
      </c>
      <c r="D286" s="170"/>
    </row>
    <row r="287" spans="1:4" ht="47.25" outlineLevel="1" collapsed="1">
      <c r="A287" s="97"/>
      <c r="B287" s="111" t="s">
        <v>814</v>
      </c>
      <c r="C287" s="97">
        <f>SUBTOTAL(3,C286:C286)</f>
        <v>0</v>
      </c>
      <c r="D287" s="170"/>
    </row>
    <row r="288" spans="1:4" ht="45" hidden="1" outlineLevel="2">
      <c r="A288" s="97">
        <v>179</v>
      </c>
      <c r="B288" s="97"/>
      <c r="C288" s="97" t="s">
        <v>151</v>
      </c>
      <c r="D288" s="170"/>
    </row>
    <row r="289" spans="1:4" ht="63" outlineLevel="1" collapsed="1">
      <c r="A289" s="97"/>
      <c r="B289" s="111" t="s">
        <v>830</v>
      </c>
      <c r="C289" s="97">
        <f>SUBTOTAL(3,C288:C288)</f>
        <v>0</v>
      </c>
      <c r="D289" s="170"/>
    </row>
    <row r="290" spans="1:4" ht="45" hidden="1" outlineLevel="2">
      <c r="A290" s="97">
        <v>180</v>
      </c>
      <c r="B290" s="97"/>
      <c r="C290" s="97" t="s">
        <v>689</v>
      </c>
      <c r="D290" s="169"/>
    </row>
    <row r="291" spans="1:4" ht="47.25" outlineLevel="1" collapsed="1">
      <c r="A291" s="97"/>
      <c r="B291" s="111" t="s">
        <v>831</v>
      </c>
      <c r="C291" s="97">
        <f>SUBTOTAL(3,C290:C290)</f>
        <v>0</v>
      </c>
      <c r="D291" s="169"/>
    </row>
    <row r="292" spans="1:4" ht="75" hidden="1" outlineLevel="2">
      <c r="A292" s="97">
        <v>181</v>
      </c>
      <c r="B292" s="97"/>
      <c r="C292" s="97" t="s">
        <v>692</v>
      </c>
      <c r="D292" s="169"/>
    </row>
    <row r="293" spans="1:4" ht="63" outlineLevel="1" collapsed="1">
      <c r="A293" s="97"/>
      <c r="B293" s="111" t="s">
        <v>832</v>
      </c>
      <c r="C293" s="97">
        <f>SUBTOTAL(3,C292:C292)</f>
        <v>0</v>
      </c>
      <c r="D293" s="169"/>
    </row>
    <row r="294" spans="1:4" ht="60" hidden="1" outlineLevel="2">
      <c r="A294" s="97">
        <v>182</v>
      </c>
      <c r="B294" s="97"/>
      <c r="C294" s="97" t="s">
        <v>695</v>
      </c>
      <c r="D294" s="169"/>
    </row>
    <row r="295" spans="1:4" ht="63" outlineLevel="1" collapsed="1">
      <c r="A295" s="97"/>
      <c r="B295" s="111" t="s">
        <v>833</v>
      </c>
      <c r="C295" s="97">
        <f>SUBTOTAL(3,C294:C294)</f>
        <v>0</v>
      </c>
      <c r="D295" s="169"/>
    </row>
    <row r="296" spans="1:4" ht="60" hidden="1" outlineLevel="2">
      <c r="A296" s="97">
        <v>183</v>
      </c>
      <c r="B296" s="97"/>
      <c r="C296" s="97" t="s">
        <v>676</v>
      </c>
      <c r="D296" s="170"/>
    </row>
    <row r="297" spans="1:4" ht="78.75" outlineLevel="1" collapsed="1">
      <c r="A297" s="97"/>
      <c r="B297" s="111" t="s">
        <v>828</v>
      </c>
      <c r="C297" s="97">
        <f>SUBTOTAL(3,C296:C296)</f>
        <v>0</v>
      </c>
      <c r="D297" s="170"/>
    </row>
    <row r="298" spans="1:4" ht="45" hidden="1" outlineLevel="2">
      <c r="A298" s="97">
        <v>184</v>
      </c>
      <c r="B298" s="97"/>
      <c r="C298" s="97" t="s">
        <v>700</v>
      </c>
      <c r="D298" s="172"/>
    </row>
    <row r="299" spans="1:4" ht="47.25" outlineLevel="1" collapsed="1">
      <c r="A299" s="97"/>
      <c r="B299" s="111" t="s">
        <v>834</v>
      </c>
      <c r="C299" s="97">
        <f>SUBTOTAL(3,C298:C298)</f>
        <v>0</v>
      </c>
      <c r="D299" s="172"/>
    </row>
    <row r="300" spans="1:4" ht="75" hidden="1" outlineLevel="2">
      <c r="A300" s="97">
        <v>185</v>
      </c>
      <c r="B300" s="97"/>
      <c r="C300" s="97" t="s">
        <v>704</v>
      </c>
      <c r="D300" s="172"/>
    </row>
    <row r="301" spans="1:4" ht="78.75" outlineLevel="1" collapsed="1">
      <c r="A301" s="97"/>
      <c r="B301" s="111" t="s">
        <v>835</v>
      </c>
      <c r="C301" s="97">
        <f>SUBTOTAL(3,C300:C300)</f>
        <v>0</v>
      </c>
      <c r="D301" s="172"/>
    </row>
    <row r="302" spans="1:4" ht="45" hidden="1" outlineLevel="2">
      <c r="A302" s="97">
        <v>186</v>
      </c>
      <c r="B302" s="97"/>
      <c r="C302" s="97" t="s">
        <v>708</v>
      </c>
      <c r="D302" s="173"/>
    </row>
    <row r="303" spans="1:4" ht="63" outlineLevel="1" collapsed="1">
      <c r="A303" s="97"/>
      <c r="B303" s="111" t="s">
        <v>836</v>
      </c>
      <c r="C303" s="97">
        <f>SUBTOTAL(3,C302:C302)</f>
        <v>0</v>
      </c>
      <c r="D303" s="173"/>
    </row>
    <row r="304" spans="1:4" ht="60" hidden="1" outlineLevel="2">
      <c r="A304" s="97">
        <v>187</v>
      </c>
      <c r="B304" s="97"/>
      <c r="C304" s="97" t="s">
        <v>711</v>
      </c>
      <c r="D304" s="172"/>
    </row>
    <row r="305" spans="1:4" ht="63" outlineLevel="1" collapsed="1">
      <c r="A305" s="97"/>
      <c r="B305" s="111" t="s">
        <v>837</v>
      </c>
      <c r="C305" s="97">
        <f>SUBTOTAL(3,C304:C304)</f>
        <v>0</v>
      </c>
      <c r="D305" s="172"/>
    </row>
    <row r="306" spans="1:4" ht="45" hidden="1" outlineLevel="2">
      <c r="A306" s="97">
        <v>188</v>
      </c>
      <c r="B306" s="97"/>
      <c r="C306" s="97" t="s">
        <v>714</v>
      </c>
      <c r="D306" s="172"/>
    </row>
    <row r="307" spans="1:4" ht="47.25" outlineLevel="1" collapsed="1">
      <c r="A307" s="97"/>
      <c r="B307" s="111" t="s">
        <v>838</v>
      </c>
      <c r="C307" s="97">
        <f>SUBTOTAL(3,C306:C306)</f>
        <v>0</v>
      </c>
      <c r="D307" s="172"/>
    </row>
    <row r="308" spans="1:4" ht="60" hidden="1" outlineLevel="2">
      <c r="A308" s="97">
        <v>189</v>
      </c>
      <c r="B308" s="97"/>
      <c r="C308" s="97" t="s">
        <v>717</v>
      </c>
      <c r="D308" s="172"/>
    </row>
    <row r="309" spans="1:4" ht="63" outlineLevel="1" collapsed="1">
      <c r="A309" s="97"/>
      <c r="B309" s="111" t="s">
        <v>839</v>
      </c>
      <c r="C309" s="97">
        <f>SUBTOTAL(3,C308:C308)</f>
        <v>0</v>
      </c>
      <c r="D309" s="172"/>
    </row>
    <row r="310" spans="1:4" ht="75" hidden="1" outlineLevel="2">
      <c r="A310" s="97">
        <v>190</v>
      </c>
      <c r="B310" s="97"/>
      <c r="C310" s="97" t="s">
        <v>719</v>
      </c>
      <c r="D310" s="172"/>
    </row>
    <row r="311" spans="1:4" ht="78.75" outlineLevel="1" collapsed="1">
      <c r="A311" s="97"/>
      <c r="B311" s="111" t="s">
        <v>840</v>
      </c>
      <c r="C311" s="97">
        <f>SUBTOTAL(3,C310:C310)</f>
        <v>0</v>
      </c>
      <c r="D311" s="172"/>
    </row>
    <row r="312" spans="1:4" ht="30" hidden="1" outlineLevel="2">
      <c r="A312" s="97">
        <v>191</v>
      </c>
      <c r="B312" s="97"/>
      <c r="C312" s="97" t="s">
        <v>721</v>
      </c>
      <c r="D312" s="172"/>
    </row>
    <row r="313" spans="1:4" ht="31.5" outlineLevel="1" collapsed="1">
      <c r="A313" s="97"/>
      <c r="B313" s="111" t="s">
        <v>841</v>
      </c>
      <c r="C313" s="97">
        <f>SUBTOTAL(3,C312:C312)</f>
        <v>0</v>
      </c>
      <c r="D313" s="172"/>
    </row>
    <row r="314" spans="1:4" ht="30" hidden="1" outlineLevel="2">
      <c r="A314" s="97">
        <v>192</v>
      </c>
      <c r="B314" s="97"/>
      <c r="C314" s="97" t="s">
        <v>723</v>
      </c>
      <c r="D314" s="172"/>
    </row>
    <row r="315" spans="1:4" ht="47.25" outlineLevel="1" collapsed="1">
      <c r="A315" s="97"/>
      <c r="B315" s="111" t="s">
        <v>842</v>
      </c>
      <c r="C315" s="97">
        <f>SUBTOTAL(3,C314:C314)</f>
        <v>0</v>
      </c>
      <c r="D315" s="172"/>
    </row>
    <row r="316" spans="1:4" ht="75" hidden="1" outlineLevel="2">
      <c r="A316" s="97">
        <v>193</v>
      </c>
      <c r="B316" s="97"/>
      <c r="C316" s="97" t="s">
        <v>726</v>
      </c>
      <c r="D316" s="172"/>
    </row>
    <row r="317" spans="1:4" ht="78.75" outlineLevel="1" collapsed="1">
      <c r="A317" s="97"/>
      <c r="B317" s="111" t="s">
        <v>843</v>
      </c>
      <c r="C317" s="97">
        <f>SUBTOTAL(3,C316:C316)</f>
        <v>0</v>
      </c>
      <c r="D317" s="172"/>
    </row>
    <row r="318" spans="1:4" ht="60" hidden="1" outlineLevel="2">
      <c r="A318" s="97">
        <v>194</v>
      </c>
      <c r="B318" s="97"/>
      <c r="C318" s="97" t="s">
        <v>727</v>
      </c>
      <c r="D318" s="172"/>
    </row>
    <row r="319" spans="1:4" ht="63" outlineLevel="1" collapsed="1">
      <c r="A319" s="97"/>
      <c r="B319" s="111" t="s">
        <v>844</v>
      </c>
      <c r="C319" s="97">
        <f>SUBTOTAL(3,C318:C318)</f>
        <v>0</v>
      </c>
      <c r="D319" s="172"/>
    </row>
    <row r="320" spans="1:4" ht="45" hidden="1" outlineLevel="2">
      <c r="A320" s="97">
        <v>195</v>
      </c>
      <c r="B320" s="97"/>
      <c r="C320" s="97" t="s">
        <v>729</v>
      </c>
      <c r="D320" s="180"/>
    </row>
    <row r="321" spans="1:4" ht="47.25" outlineLevel="1" collapsed="1">
      <c r="A321" s="97"/>
      <c r="B321" s="111" t="s">
        <v>845</v>
      </c>
      <c r="C321" s="97">
        <f>SUBTOTAL(3,C320:C320)</f>
        <v>0</v>
      </c>
      <c r="D321" s="180"/>
    </row>
    <row r="322" spans="1:4" ht="30" hidden="1" outlineLevel="2">
      <c r="A322" s="97">
        <v>196</v>
      </c>
      <c r="B322" s="97"/>
      <c r="C322" s="97" t="s">
        <v>493</v>
      </c>
      <c r="D322" s="124"/>
    </row>
    <row r="323" spans="1:4" ht="47.25" outlineLevel="1" collapsed="1">
      <c r="A323" s="97"/>
      <c r="B323" s="111" t="s">
        <v>779</v>
      </c>
      <c r="C323" s="97">
        <f>SUBTOTAL(3,C322:C322)</f>
        <v>0</v>
      </c>
      <c r="D323" s="124"/>
    </row>
    <row r="324" spans="1:4" ht="45" hidden="1" outlineLevel="2">
      <c r="A324" s="97">
        <v>197</v>
      </c>
      <c r="B324" s="97"/>
      <c r="C324" s="97" t="s">
        <v>617</v>
      </c>
      <c r="D324" s="124"/>
    </row>
    <row r="325" spans="1:4" ht="63" outlineLevel="1" collapsed="1">
      <c r="A325" s="97"/>
      <c r="B325" s="111" t="s">
        <v>813</v>
      </c>
      <c r="C325" s="97">
        <f>SUBTOTAL(3,C324:C324)</f>
        <v>0</v>
      </c>
      <c r="D325" s="124"/>
    </row>
    <row r="326" spans="1:4" ht="30" hidden="1" outlineLevel="2">
      <c r="A326" s="97">
        <v>198</v>
      </c>
      <c r="B326" s="97"/>
      <c r="C326" s="97" t="s">
        <v>733</v>
      </c>
      <c r="D326" s="181"/>
    </row>
    <row r="327" spans="1:4" ht="47.25" outlineLevel="1" collapsed="1">
      <c r="A327" s="97"/>
      <c r="B327" s="111" t="s">
        <v>846</v>
      </c>
      <c r="C327" s="97">
        <f>SUBTOTAL(3,C326:C326)</f>
        <v>0</v>
      </c>
      <c r="D327" s="181"/>
    </row>
    <row r="328" spans="1:4" hidden="1" outlineLevel="2">
      <c r="A328" s="95">
        <v>199</v>
      </c>
      <c r="B328" s="95"/>
      <c r="C328" s="95" t="s">
        <v>735</v>
      </c>
      <c r="D328" s="95"/>
    </row>
    <row r="329" spans="1:4" outlineLevel="1" collapsed="1">
      <c r="A329" s="95"/>
      <c r="B329" s="183" t="s">
        <v>847</v>
      </c>
      <c r="C329" s="95">
        <f>SUBTOTAL(3,C328:C328)</f>
        <v>0</v>
      </c>
      <c r="D329" s="95"/>
    </row>
    <row r="330" spans="1:4" ht="15.75" hidden="1" outlineLevel="1">
      <c r="A330" s="97"/>
      <c r="B330" s="97"/>
      <c r="C330" s="182"/>
      <c r="D330" s="98"/>
    </row>
    <row r="331" spans="1:4" hidden="1" outlineLevel="1"/>
    <row r="332" spans="1:4" hidden="1" outlineLevel="1"/>
    <row r="333" spans="1:4" hidden="1" outlineLevel="1"/>
    <row r="334" spans="1:4" hidden="1" outlineLevel="1"/>
    <row r="335" spans="1:4" hidden="1" outlineLevel="1"/>
    <row r="336" spans="1:4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hidden="1" outlineLevel="1"/>
    <row r="365" hidden="1" outlineLevel="1"/>
    <row r="366" hidden="1" outlineLevel="1"/>
    <row r="367" hidden="1" outlineLevel="1"/>
    <row r="368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hidden="1" outlineLevel="1"/>
    <row r="405" hidden="1" outlineLevel="1"/>
    <row r="406" hidden="1" outlineLevel="1"/>
    <row r="407" hidden="1" outlineLevel="1"/>
    <row r="408" hidden="1" outlineLevel="1"/>
    <row r="409" hidden="1" outlineLevel="1"/>
    <row r="410" hidden="1" outlineLevel="1"/>
    <row r="411" hidden="1" outlineLevel="1"/>
    <row r="412" hidden="1" outlineLevel="1"/>
    <row r="413" hidden="1" outlineLevel="1"/>
    <row r="414" hidden="1" outlineLevel="1"/>
    <row r="415" hidden="1" outlineLevel="1"/>
    <row r="416" hidden="1" outlineLevel="1"/>
    <row r="417" hidden="1" outlineLevel="1"/>
    <row r="418" hidden="1" outlineLevel="1"/>
    <row r="419" hidden="1" outlineLevel="1"/>
    <row r="420" hidden="1" outlineLevel="1"/>
    <row r="421" hidden="1" outlineLevel="1"/>
    <row r="422" hidden="1" outlineLevel="1"/>
    <row r="423" hidden="1" outlineLevel="1"/>
    <row r="424" hidden="1" outlineLevel="1"/>
    <row r="425" hidden="1" outlineLevel="1"/>
    <row r="426" hidden="1" outlineLevel="1"/>
    <row r="427" hidden="1" outlineLevel="1"/>
    <row r="428" hidden="1" outlineLevel="1"/>
    <row r="429" hidden="1" outlineLevel="1"/>
    <row r="430" hidden="1" outlineLevel="1"/>
    <row r="431" hidden="1" outlineLevel="1"/>
    <row r="432" hidden="1" outlineLevel="1"/>
    <row r="433" hidden="1" outlineLevel="1"/>
    <row r="434" hidden="1" outlineLevel="1"/>
    <row r="435" hidden="1" outlineLevel="1"/>
    <row r="436" hidden="1" outlineLevel="1"/>
    <row r="437" hidden="1" outlineLevel="1"/>
    <row r="438" hidden="1" outlineLevel="1"/>
    <row r="439" hidden="1" outlineLevel="1"/>
    <row r="440" hidden="1" outlineLevel="1"/>
    <row r="441" hidden="1" outlineLevel="1"/>
    <row r="442" hidden="1" outlineLevel="1"/>
    <row r="443" hidden="1" outlineLevel="1"/>
    <row r="444" hidden="1" outlineLevel="1"/>
    <row r="445" hidden="1" outlineLevel="1"/>
    <row r="446" hidden="1" outlineLevel="1"/>
    <row r="447" hidden="1" outlineLevel="1"/>
    <row r="448" hidden="1" outlineLevel="1"/>
    <row r="449" spans="2:3" hidden="1" outlineLevel="1"/>
    <row r="450" spans="2:3" hidden="1" outlineLevel="1"/>
    <row r="451" spans="2:3" hidden="1" outlineLevel="1"/>
    <row r="452" spans="2:3" hidden="1" outlineLevel="1"/>
    <row r="453" spans="2:3" hidden="1" outlineLevel="1"/>
    <row r="454" spans="2:3" hidden="1" outlineLevel="1"/>
    <row r="455" spans="2:3" hidden="1" outlineLevel="1"/>
    <row r="456" spans="2:3" hidden="1" outlineLevel="1"/>
    <row r="457" spans="2:3" hidden="1" outlineLevel="1"/>
    <row r="458" spans="2:3" hidden="1" outlineLevel="1"/>
    <row r="459" spans="2:3" hidden="1" outlineLevel="1"/>
    <row r="460" spans="2:3" outlineLevel="1">
      <c r="B460" s="184" t="s">
        <v>848</v>
      </c>
      <c r="C460">
        <f>SUBTOTAL(3,C2:C459)</f>
        <v>0</v>
      </c>
    </row>
    <row r="461" spans="2:3" hidden="1"/>
  </sheetData>
  <autoFilter ref="B1:B461">
    <filterColumn colId="0">
      <customFilters>
        <customFilter operator="notEqual" val=" "/>
      </customFilters>
    </filterColumn>
  </autoFilter>
  <sortState ref="A1:C330">
    <sortCondition ref="A1:A330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0"/>
  <sheetViews>
    <sheetView topLeftCell="B35" workbookViewId="0">
      <selection activeCell="J1" sqref="J1:K56"/>
    </sheetView>
  </sheetViews>
  <sheetFormatPr defaultColWidth="37.7109375" defaultRowHeight="15"/>
  <cols>
    <col min="1" max="1" width="4" bestFit="1" customWidth="1"/>
    <col min="2" max="2" width="42.42578125" bestFit="1" customWidth="1"/>
    <col min="3" max="3" width="5.5703125" customWidth="1"/>
    <col min="4" max="4" width="35.5703125" bestFit="1" customWidth="1"/>
    <col min="5" max="5" width="3" bestFit="1" customWidth="1"/>
    <col min="6" max="6" width="8" customWidth="1"/>
    <col min="7" max="7" width="3" bestFit="1" customWidth="1"/>
    <col min="9" max="9" width="8.85546875" customWidth="1"/>
    <col min="10" max="10" width="3" bestFit="1" customWidth="1"/>
  </cols>
  <sheetData>
    <row r="1" spans="1:11">
      <c r="J1" t="s">
        <v>175</v>
      </c>
      <c r="K1" t="s">
        <v>1380</v>
      </c>
    </row>
    <row r="2" spans="1:11">
      <c r="A2" s="185">
        <v>1</v>
      </c>
      <c r="B2" s="185" t="s">
        <v>849</v>
      </c>
      <c r="D2" s="37" t="s">
        <v>151</v>
      </c>
      <c r="E2">
        <v>1</v>
      </c>
      <c r="G2">
        <v>1</v>
      </c>
      <c r="H2" s="197" t="s">
        <v>924</v>
      </c>
      <c r="J2">
        <v>1</v>
      </c>
      <c r="K2" t="s">
        <v>151</v>
      </c>
    </row>
    <row r="3" spans="1:11">
      <c r="A3" s="185">
        <v>2</v>
      </c>
      <c r="B3" s="185" t="s">
        <v>850</v>
      </c>
      <c r="D3" s="79" t="s">
        <v>101</v>
      </c>
      <c r="E3">
        <v>2</v>
      </c>
      <c r="G3">
        <v>2</v>
      </c>
      <c r="H3" s="184" t="s">
        <v>1315</v>
      </c>
      <c r="J3">
        <v>2</v>
      </c>
      <c r="K3" t="s">
        <v>101</v>
      </c>
    </row>
    <row r="4" spans="1:11">
      <c r="A4" s="185">
        <v>3</v>
      </c>
      <c r="B4" s="185" t="s">
        <v>851</v>
      </c>
      <c r="D4" s="79" t="s">
        <v>132</v>
      </c>
      <c r="E4">
        <v>3</v>
      </c>
      <c r="G4">
        <v>3</v>
      </c>
      <c r="H4" s="184" t="s">
        <v>1316</v>
      </c>
      <c r="J4">
        <v>3</v>
      </c>
      <c r="K4" t="s">
        <v>132</v>
      </c>
    </row>
    <row r="5" spans="1:11">
      <c r="A5" s="185">
        <v>4</v>
      </c>
      <c r="B5" s="185" t="s">
        <v>852</v>
      </c>
      <c r="D5" s="37" t="s">
        <v>155</v>
      </c>
      <c r="E5">
        <v>4</v>
      </c>
      <c r="G5">
        <v>4</v>
      </c>
      <c r="H5" s="184" t="s">
        <v>1317</v>
      </c>
      <c r="J5">
        <v>4</v>
      </c>
      <c r="K5" t="s">
        <v>155</v>
      </c>
    </row>
    <row r="6" spans="1:11">
      <c r="A6" s="185">
        <v>5</v>
      </c>
      <c r="B6" s="185" t="s">
        <v>853</v>
      </c>
      <c r="D6" s="79" t="s">
        <v>118</v>
      </c>
      <c r="E6">
        <v>5</v>
      </c>
      <c r="G6">
        <v>5</v>
      </c>
      <c r="H6" s="184" t="s">
        <v>1318</v>
      </c>
      <c r="J6">
        <v>5</v>
      </c>
      <c r="K6" t="s">
        <v>118</v>
      </c>
    </row>
    <row r="7" spans="1:11">
      <c r="A7" s="185">
        <v>6</v>
      </c>
      <c r="B7" s="185" t="s">
        <v>854</v>
      </c>
      <c r="D7" s="79" t="s">
        <v>116</v>
      </c>
      <c r="E7">
        <v>6</v>
      </c>
      <c r="G7">
        <v>6</v>
      </c>
      <c r="H7" s="184" t="s">
        <v>1319</v>
      </c>
      <c r="J7">
        <v>6</v>
      </c>
      <c r="K7" t="s">
        <v>116</v>
      </c>
    </row>
    <row r="8" spans="1:11">
      <c r="A8" s="185">
        <v>7</v>
      </c>
      <c r="B8" s="185" t="s">
        <v>855</v>
      </c>
      <c r="D8" s="37" t="s">
        <v>90</v>
      </c>
      <c r="E8">
        <v>7</v>
      </c>
      <c r="G8">
        <v>7</v>
      </c>
      <c r="H8" s="184" t="s">
        <v>1320</v>
      </c>
      <c r="J8">
        <v>7</v>
      </c>
      <c r="K8" t="s">
        <v>90</v>
      </c>
    </row>
    <row r="9" spans="1:11">
      <c r="A9" s="185">
        <v>8</v>
      </c>
      <c r="B9" s="185" t="s">
        <v>856</v>
      </c>
      <c r="D9" s="37" t="s">
        <v>167</v>
      </c>
      <c r="E9">
        <v>8</v>
      </c>
      <c r="G9">
        <v>8</v>
      </c>
      <c r="H9" s="184" t="s">
        <v>1321</v>
      </c>
      <c r="J9">
        <v>8</v>
      </c>
      <c r="K9" t="s">
        <v>167</v>
      </c>
    </row>
    <row r="10" spans="1:11">
      <c r="A10" s="185">
        <v>9</v>
      </c>
      <c r="B10" s="185" t="s">
        <v>857</v>
      </c>
      <c r="D10" s="37" t="s">
        <v>165</v>
      </c>
      <c r="E10">
        <v>9</v>
      </c>
      <c r="G10">
        <v>9</v>
      </c>
      <c r="H10" s="184" t="s">
        <v>1322</v>
      </c>
      <c r="J10">
        <v>9</v>
      </c>
      <c r="K10" t="s">
        <v>165</v>
      </c>
    </row>
    <row r="11" spans="1:11">
      <c r="A11" s="185">
        <v>10</v>
      </c>
      <c r="B11" s="185" t="s">
        <v>858</v>
      </c>
      <c r="D11" s="37" t="s">
        <v>62</v>
      </c>
      <c r="E11">
        <v>10</v>
      </c>
      <c r="G11">
        <v>10</v>
      </c>
      <c r="H11" s="184" t="s">
        <v>1323</v>
      </c>
      <c r="J11">
        <v>10</v>
      </c>
      <c r="K11" t="s">
        <v>62</v>
      </c>
    </row>
    <row r="12" spans="1:11">
      <c r="A12" s="185">
        <v>11</v>
      </c>
      <c r="B12" s="185" t="s">
        <v>859</v>
      </c>
      <c r="D12" s="37" t="s">
        <v>38</v>
      </c>
      <c r="E12">
        <v>11</v>
      </c>
      <c r="G12">
        <v>11</v>
      </c>
      <c r="H12" s="184" t="s">
        <v>1324</v>
      </c>
      <c r="J12">
        <v>11</v>
      </c>
      <c r="K12" t="s">
        <v>38</v>
      </c>
    </row>
    <row r="13" spans="1:11">
      <c r="A13" s="185">
        <v>12</v>
      </c>
      <c r="B13" s="185" t="s">
        <v>860</v>
      </c>
      <c r="D13" s="37" t="s">
        <v>23</v>
      </c>
      <c r="E13">
        <v>12</v>
      </c>
      <c r="G13">
        <v>12</v>
      </c>
      <c r="H13" s="184" t="s">
        <v>1325</v>
      </c>
      <c r="J13">
        <v>12</v>
      </c>
      <c r="K13" t="s">
        <v>23</v>
      </c>
    </row>
    <row r="14" spans="1:11">
      <c r="A14" s="185">
        <v>13</v>
      </c>
      <c r="B14" s="185" t="s">
        <v>861</v>
      </c>
      <c r="D14" s="79" t="s">
        <v>139</v>
      </c>
      <c r="E14">
        <v>13</v>
      </c>
      <c r="G14">
        <v>13</v>
      </c>
      <c r="H14" s="184" t="s">
        <v>1326</v>
      </c>
      <c r="J14">
        <v>13</v>
      </c>
      <c r="K14" t="s">
        <v>139</v>
      </c>
    </row>
    <row r="15" spans="1:11">
      <c r="A15" s="185">
        <v>14</v>
      </c>
      <c r="B15" s="185" t="s">
        <v>862</v>
      </c>
      <c r="D15" s="79" t="s">
        <v>75</v>
      </c>
      <c r="E15">
        <v>14</v>
      </c>
      <c r="G15">
        <v>14</v>
      </c>
      <c r="H15" s="184" t="s">
        <v>1327</v>
      </c>
      <c r="J15">
        <v>14</v>
      </c>
      <c r="K15" t="s">
        <v>75</v>
      </c>
    </row>
    <row r="16" spans="1:11">
      <c r="A16" s="185">
        <v>15</v>
      </c>
      <c r="B16" s="185" t="s">
        <v>863</v>
      </c>
      <c r="D16" s="37" t="s">
        <v>31</v>
      </c>
      <c r="E16">
        <v>15</v>
      </c>
      <c r="G16">
        <v>15</v>
      </c>
      <c r="H16" s="184" t="s">
        <v>1328</v>
      </c>
      <c r="J16">
        <v>15</v>
      </c>
      <c r="K16" t="s">
        <v>31</v>
      </c>
    </row>
    <row r="17" spans="1:11">
      <c r="A17" s="185">
        <v>16</v>
      </c>
      <c r="B17" s="185" t="s">
        <v>864</v>
      </c>
      <c r="D17" s="79" t="s">
        <v>112</v>
      </c>
      <c r="E17">
        <v>16</v>
      </c>
      <c r="G17">
        <v>16</v>
      </c>
      <c r="H17" s="184" t="s">
        <v>1327</v>
      </c>
      <c r="J17">
        <v>16</v>
      </c>
      <c r="K17" t="s">
        <v>112</v>
      </c>
    </row>
    <row r="18" spans="1:11">
      <c r="A18" s="185">
        <v>17</v>
      </c>
      <c r="B18" s="185" t="s">
        <v>865</v>
      </c>
      <c r="D18" s="37" t="s">
        <v>171</v>
      </c>
      <c r="E18">
        <v>17</v>
      </c>
      <c r="G18">
        <v>17</v>
      </c>
      <c r="H18" s="184" t="s">
        <v>1329</v>
      </c>
      <c r="J18">
        <v>17</v>
      </c>
      <c r="K18" t="s">
        <v>1381</v>
      </c>
    </row>
    <row r="19" spans="1:11">
      <c r="A19" s="185">
        <v>18</v>
      </c>
      <c r="B19" s="185" t="s">
        <v>866</v>
      </c>
      <c r="D19" s="37" t="s">
        <v>94</v>
      </c>
      <c r="E19">
        <v>18</v>
      </c>
      <c r="G19">
        <v>18</v>
      </c>
      <c r="H19" s="184" t="s">
        <v>1328</v>
      </c>
      <c r="J19">
        <v>18</v>
      </c>
      <c r="K19" t="s">
        <v>94</v>
      </c>
    </row>
    <row r="20" spans="1:11">
      <c r="A20" s="185">
        <v>19</v>
      </c>
      <c r="B20" s="185" t="s">
        <v>867</v>
      </c>
      <c r="D20" s="37" t="s">
        <v>1</v>
      </c>
      <c r="E20">
        <v>19</v>
      </c>
      <c r="G20">
        <v>19</v>
      </c>
      <c r="H20" s="184" t="s">
        <v>1330</v>
      </c>
      <c r="J20">
        <v>19</v>
      </c>
      <c r="K20" t="s">
        <v>1</v>
      </c>
    </row>
    <row r="21" spans="1:11">
      <c r="A21" s="185">
        <v>20</v>
      </c>
      <c r="B21" s="185" t="s">
        <v>868</v>
      </c>
      <c r="D21" s="37" t="s">
        <v>15</v>
      </c>
      <c r="E21">
        <v>20</v>
      </c>
      <c r="G21">
        <v>20</v>
      </c>
      <c r="H21" s="184" t="s">
        <v>1331</v>
      </c>
      <c r="J21">
        <v>20</v>
      </c>
      <c r="K21" t="s">
        <v>15</v>
      </c>
    </row>
    <row r="22" spans="1:11">
      <c r="A22" s="185">
        <v>21</v>
      </c>
      <c r="B22" s="185" t="s">
        <v>869</v>
      </c>
      <c r="D22" s="37" t="s">
        <v>11</v>
      </c>
      <c r="E22">
        <v>21</v>
      </c>
      <c r="G22">
        <v>21</v>
      </c>
      <c r="H22" s="184" t="s">
        <v>1332</v>
      </c>
      <c r="J22">
        <v>21</v>
      </c>
      <c r="K22" t="s">
        <v>11</v>
      </c>
    </row>
    <row r="23" spans="1:11">
      <c r="A23" s="185">
        <v>22</v>
      </c>
      <c r="B23" s="185" t="s">
        <v>870</v>
      </c>
      <c r="D23" s="79" t="s">
        <v>107</v>
      </c>
      <c r="E23">
        <v>22</v>
      </c>
      <c r="G23">
        <v>22</v>
      </c>
      <c r="H23" s="184" t="s">
        <v>1333</v>
      </c>
      <c r="J23">
        <v>22</v>
      </c>
      <c r="K23" t="s">
        <v>107</v>
      </c>
    </row>
    <row r="24" spans="1:11">
      <c r="A24" s="185">
        <v>23</v>
      </c>
      <c r="B24" s="185" t="s">
        <v>871</v>
      </c>
      <c r="D24" s="37" t="s">
        <v>163</v>
      </c>
      <c r="E24">
        <v>23</v>
      </c>
      <c r="G24">
        <v>23</v>
      </c>
      <c r="H24" s="184" t="s">
        <v>1334</v>
      </c>
      <c r="J24">
        <v>23</v>
      </c>
      <c r="K24" t="s">
        <v>1382</v>
      </c>
    </row>
    <row r="25" spans="1:11">
      <c r="A25" s="185">
        <v>24</v>
      </c>
      <c r="B25" s="185" t="s">
        <v>872</v>
      </c>
      <c r="D25" s="37" t="s">
        <v>159</v>
      </c>
      <c r="E25">
        <v>24</v>
      </c>
      <c r="G25">
        <v>24</v>
      </c>
      <c r="H25" s="184" t="s">
        <v>1335</v>
      </c>
      <c r="J25">
        <v>24</v>
      </c>
      <c r="K25" t="s">
        <v>159</v>
      </c>
    </row>
    <row r="26" spans="1:11">
      <c r="A26" s="185">
        <v>25</v>
      </c>
      <c r="B26" s="185" t="s">
        <v>873</v>
      </c>
      <c r="D26" s="37" t="s">
        <v>162</v>
      </c>
      <c r="E26">
        <v>25</v>
      </c>
      <c r="G26">
        <v>25</v>
      </c>
      <c r="H26" s="184" t="s">
        <v>1336</v>
      </c>
      <c r="J26">
        <v>25</v>
      </c>
      <c r="K26" t="s">
        <v>162</v>
      </c>
    </row>
    <row r="27" spans="1:11">
      <c r="A27" s="185">
        <v>26</v>
      </c>
      <c r="B27" s="185" t="s">
        <v>874</v>
      </c>
      <c r="D27" s="79" t="s">
        <v>128</v>
      </c>
      <c r="E27">
        <v>26</v>
      </c>
      <c r="G27">
        <v>26</v>
      </c>
      <c r="H27" s="184" t="s">
        <v>1333</v>
      </c>
      <c r="J27">
        <v>26</v>
      </c>
      <c r="K27" t="s">
        <v>128</v>
      </c>
    </row>
    <row r="28" spans="1:11">
      <c r="A28" s="185">
        <v>27</v>
      </c>
      <c r="B28" s="185" t="s">
        <v>875</v>
      </c>
      <c r="D28" s="79" t="s">
        <v>130</v>
      </c>
      <c r="E28">
        <v>27</v>
      </c>
      <c r="G28">
        <v>27</v>
      </c>
      <c r="H28" s="184" t="s">
        <v>894</v>
      </c>
      <c r="J28">
        <v>27</v>
      </c>
      <c r="K28" t="s">
        <v>130</v>
      </c>
    </row>
    <row r="29" spans="1:11">
      <c r="A29" s="185">
        <v>28</v>
      </c>
      <c r="B29" s="185" t="s">
        <v>445</v>
      </c>
      <c r="D29" s="37" t="s">
        <v>71</v>
      </c>
      <c r="E29">
        <v>28</v>
      </c>
      <c r="G29">
        <v>28</v>
      </c>
      <c r="H29" s="184" t="s">
        <v>895</v>
      </c>
      <c r="J29">
        <v>28</v>
      </c>
      <c r="K29" t="s">
        <v>71</v>
      </c>
    </row>
    <row r="30" spans="1:11">
      <c r="A30" s="185">
        <v>29</v>
      </c>
      <c r="B30" s="185" t="s">
        <v>876</v>
      </c>
      <c r="D30" s="79" t="s">
        <v>121</v>
      </c>
      <c r="E30">
        <v>29</v>
      </c>
      <c r="G30">
        <v>29</v>
      </c>
      <c r="H30" s="184" t="s">
        <v>1337</v>
      </c>
      <c r="J30">
        <v>29</v>
      </c>
      <c r="K30" t="s">
        <v>121</v>
      </c>
    </row>
    <row r="31" spans="1:11">
      <c r="A31" s="185">
        <v>30</v>
      </c>
      <c r="B31" s="185" t="s">
        <v>877</v>
      </c>
      <c r="D31" s="79" t="s">
        <v>114</v>
      </c>
      <c r="E31">
        <v>30</v>
      </c>
      <c r="G31">
        <v>30</v>
      </c>
      <c r="H31" s="184" t="s">
        <v>896</v>
      </c>
      <c r="J31">
        <v>30</v>
      </c>
      <c r="K31" t="s">
        <v>114</v>
      </c>
    </row>
    <row r="32" spans="1:11">
      <c r="A32" s="185">
        <v>31</v>
      </c>
      <c r="B32" s="185" t="s">
        <v>878</v>
      </c>
      <c r="D32" s="37" t="s">
        <v>109</v>
      </c>
      <c r="E32">
        <v>31</v>
      </c>
      <c r="G32">
        <v>31</v>
      </c>
      <c r="H32" s="184" t="s">
        <v>897</v>
      </c>
      <c r="J32">
        <v>31</v>
      </c>
      <c r="K32" t="s">
        <v>109</v>
      </c>
    </row>
    <row r="33" spans="1:11">
      <c r="A33" s="185">
        <v>32</v>
      </c>
      <c r="B33" s="185" t="s">
        <v>879</v>
      </c>
      <c r="D33" s="37" t="s">
        <v>106</v>
      </c>
      <c r="E33">
        <v>32</v>
      </c>
      <c r="G33">
        <v>32</v>
      </c>
      <c r="H33" s="184" t="s">
        <v>1338</v>
      </c>
      <c r="J33">
        <v>32</v>
      </c>
      <c r="K33" t="s">
        <v>106</v>
      </c>
    </row>
    <row r="34" spans="1:11">
      <c r="A34" s="185">
        <v>33</v>
      </c>
      <c r="B34" s="185" t="s">
        <v>880</v>
      </c>
      <c r="D34" s="79" t="s">
        <v>104</v>
      </c>
      <c r="E34">
        <v>33</v>
      </c>
      <c r="G34">
        <v>33</v>
      </c>
      <c r="H34" s="184" t="s">
        <v>1339</v>
      </c>
      <c r="J34">
        <v>33</v>
      </c>
      <c r="K34" t="s">
        <v>104</v>
      </c>
    </row>
    <row r="35" spans="1:11">
      <c r="A35" s="185">
        <v>34</v>
      </c>
      <c r="B35" s="185" t="s">
        <v>881</v>
      </c>
      <c r="D35" s="37" t="s">
        <v>157</v>
      </c>
      <c r="E35">
        <v>34</v>
      </c>
      <c r="G35">
        <v>34</v>
      </c>
      <c r="H35" s="184" t="s">
        <v>1340</v>
      </c>
      <c r="J35">
        <v>34</v>
      </c>
      <c r="K35" t="s">
        <v>157</v>
      </c>
    </row>
    <row r="36" spans="1:11">
      <c r="A36" s="185">
        <v>35</v>
      </c>
      <c r="B36" s="185" t="s">
        <v>882</v>
      </c>
      <c r="D36" s="37" t="s">
        <v>34</v>
      </c>
      <c r="E36">
        <v>35</v>
      </c>
      <c r="G36">
        <v>35</v>
      </c>
      <c r="H36" s="184" t="s">
        <v>1341</v>
      </c>
      <c r="J36">
        <v>35</v>
      </c>
      <c r="K36" t="s">
        <v>34</v>
      </c>
    </row>
    <row r="37" spans="1:11">
      <c r="A37" s="185">
        <v>36</v>
      </c>
      <c r="B37" s="185" t="s">
        <v>883</v>
      </c>
      <c r="D37" s="37" t="s">
        <v>18</v>
      </c>
      <c r="E37">
        <v>36</v>
      </c>
      <c r="G37">
        <v>36</v>
      </c>
      <c r="H37" s="184" t="s">
        <v>1342</v>
      </c>
      <c r="J37">
        <v>36</v>
      </c>
      <c r="K37" t="s">
        <v>18</v>
      </c>
    </row>
    <row r="38" spans="1:11">
      <c r="A38" s="185">
        <v>37</v>
      </c>
      <c r="B38" s="185" t="s">
        <v>884</v>
      </c>
      <c r="D38" s="37" t="s">
        <v>82</v>
      </c>
      <c r="E38">
        <v>37</v>
      </c>
      <c r="G38">
        <v>37</v>
      </c>
      <c r="H38" s="184" t="s">
        <v>1343</v>
      </c>
      <c r="J38">
        <v>37</v>
      </c>
      <c r="K38" t="s">
        <v>82</v>
      </c>
    </row>
    <row r="39" spans="1:11">
      <c r="A39" s="185">
        <v>38</v>
      </c>
      <c r="B39" s="185" t="s">
        <v>885</v>
      </c>
      <c r="D39" s="79" t="s">
        <v>129</v>
      </c>
      <c r="E39">
        <v>38</v>
      </c>
      <c r="G39">
        <v>38</v>
      </c>
      <c r="H39" s="184" t="s">
        <v>1344</v>
      </c>
      <c r="J39">
        <v>38</v>
      </c>
      <c r="K39" t="s">
        <v>129</v>
      </c>
    </row>
    <row r="40" spans="1:11">
      <c r="A40" s="185">
        <v>39</v>
      </c>
      <c r="B40" s="185" t="s">
        <v>886</v>
      </c>
      <c r="D40" s="37" t="s">
        <v>86</v>
      </c>
      <c r="E40">
        <v>39</v>
      </c>
      <c r="G40">
        <v>39</v>
      </c>
      <c r="H40" s="184" t="s">
        <v>1345</v>
      </c>
      <c r="J40">
        <v>39</v>
      </c>
      <c r="K40" t="s">
        <v>86</v>
      </c>
    </row>
    <row r="41" spans="1:11">
      <c r="A41" s="185">
        <v>40</v>
      </c>
      <c r="B41" s="185" t="s">
        <v>887</v>
      </c>
      <c r="D41" s="37" t="s">
        <v>88</v>
      </c>
      <c r="E41">
        <v>40</v>
      </c>
      <c r="G41">
        <v>40</v>
      </c>
      <c r="H41" s="184" t="s">
        <v>891</v>
      </c>
      <c r="J41">
        <v>40</v>
      </c>
      <c r="K41" t="s">
        <v>88</v>
      </c>
    </row>
    <row r="42" spans="1:11">
      <c r="A42" s="185">
        <v>41</v>
      </c>
      <c r="B42" s="185" t="s">
        <v>888</v>
      </c>
      <c r="D42" s="92" t="s">
        <v>168</v>
      </c>
      <c r="E42">
        <v>41</v>
      </c>
      <c r="G42">
        <v>41</v>
      </c>
      <c r="H42" s="184" t="s">
        <v>1346</v>
      </c>
      <c r="J42">
        <v>41</v>
      </c>
      <c r="K42" t="s">
        <v>1383</v>
      </c>
    </row>
    <row r="43" spans="1:11">
      <c r="A43" s="185">
        <v>42</v>
      </c>
      <c r="B43" s="185" t="s">
        <v>889</v>
      </c>
      <c r="D43" s="79" t="s">
        <v>124</v>
      </c>
      <c r="E43">
        <v>42</v>
      </c>
      <c r="G43">
        <v>42</v>
      </c>
      <c r="H43" s="184" t="s">
        <v>1347</v>
      </c>
      <c r="J43">
        <v>42</v>
      </c>
      <c r="K43" t="s">
        <v>124</v>
      </c>
    </row>
    <row r="44" spans="1:11">
      <c r="A44" s="185">
        <v>43</v>
      </c>
      <c r="B44" s="185" t="s">
        <v>890</v>
      </c>
      <c r="D44" s="37" t="s">
        <v>26</v>
      </c>
      <c r="E44">
        <v>43</v>
      </c>
      <c r="G44">
        <v>43</v>
      </c>
      <c r="H44" s="184" t="s">
        <v>1348</v>
      </c>
      <c r="J44">
        <v>43</v>
      </c>
      <c r="K44" t="s">
        <v>26</v>
      </c>
    </row>
    <row r="45" spans="1:11">
      <c r="A45" s="185">
        <v>44</v>
      </c>
      <c r="B45" s="185" t="s">
        <v>891</v>
      </c>
      <c r="D45" s="79" t="s">
        <v>145</v>
      </c>
      <c r="E45">
        <v>44</v>
      </c>
      <c r="G45">
        <v>44</v>
      </c>
      <c r="H45" s="184" t="s">
        <v>1098</v>
      </c>
      <c r="J45">
        <v>44</v>
      </c>
      <c r="K45" t="s">
        <v>145</v>
      </c>
    </row>
    <row r="46" spans="1:11">
      <c r="A46" s="185">
        <v>45</v>
      </c>
      <c r="B46" s="185" t="s">
        <v>892</v>
      </c>
      <c r="D46" s="79" t="s">
        <v>144</v>
      </c>
      <c r="E46">
        <v>45</v>
      </c>
      <c r="G46">
        <v>45</v>
      </c>
      <c r="H46" s="184" t="s">
        <v>1346</v>
      </c>
      <c r="J46">
        <v>45</v>
      </c>
      <c r="K46" t="s">
        <v>144</v>
      </c>
    </row>
    <row r="47" spans="1:11">
      <c r="A47" s="185">
        <v>46</v>
      </c>
      <c r="B47" s="185" t="s">
        <v>893</v>
      </c>
      <c r="D47" s="79" t="s">
        <v>143</v>
      </c>
      <c r="E47">
        <v>46</v>
      </c>
      <c r="G47">
        <v>46</v>
      </c>
      <c r="H47" s="184" t="s">
        <v>1349</v>
      </c>
      <c r="J47">
        <v>46</v>
      </c>
      <c r="K47" t="s">
        <v>143</v>
      </c>
    </row>
    <row r="48" spans="1:11">
      <c r="A48" s="185">
        <v>47</v>
      </c>
      <c r="B48" s="185" t="s">
        <v>894</v>
      </c>
      <c r="D48" s="37" t="s">
        <v>149</v>
      </c>
      <c r="E48">
        <v>47</v>
      </c>
      <c r="G48">
        <v>47</v>
      </c>
      <c r="H48" s="184" t="s">
        <v>1350</v>
      </c>
      <c r="J48">
        <v>47</v>
      </c>
      <c r="K48" t="s">
        <v>149</v>
      </c>
    </row>
    <row r="49" spans="1:11">
      <c r="A49" s="185">
        <v>48</v>
      </c>
      <c r="B49" s="185" t="s">
        <v>895</v>
      </c>
      <c r="D49" s="37" t="s">
        <v>188</v>
      </c>
      <c r="E49">
        <v>48</v>
      </c>
      <c r="G49">
        <v>48</v>
      </c>
      <c r="H49" s="184" t="s">
        <v>1351</v>
      </c>
      <c r="J49">
        <v>48</v>
      </c>
      <c r="K49" t="s">
        <v>188</v>
      </c>
    </row>
    <row r="50" spans="1:11">
      <c r="A50" s="185">
        <v>49</v>
      </c>
      <c r="B50" s="185" t="s">
        <v>896</v>
      </c>
      <c r="D50" s="37" t="s">
        <v>153</v>
      </c>
      <c r="E50">
        <v>49</v>
      </c>
      <c r="G50">
        <v>49</v>
      </c>
      <c r="H50" s="184" t="s">
        <v>1352</v>
      </c>
      <c r="J50">
        <v>49</v>
      </c>
      <c r="K50" t="s">
        <v>153</v>
      </c>
    </row>
    <row r="51" spans="1:11">
      <c r="A51" s="185">
        <v>50</v>
      </c>
      <c r="B51" s="185" t="s">
        <v>897</v>
      </c>
      <c r="D51" s="79" t="s">
        <v>136</v>
      </c>
      <c r="E51">
        <v>50</v>
      </c>
      <c r="G51">
        <v>50</v>
      </c>
      <c r="H51" s="184" t="s">
        <v>1353</v>
      </c>
      <c r="J51">
        <v>50</v>
      </c>
      <c r="K51" t="s">
        <v>136</v>
      </c>
    </row>
    <row r="52" spans="1:11">
      <c r="A52" s="185">
        <v>51</v>
      </c>
      <c r="B52" s="185" t="s">
        <v>898</v>
      </c>
      <c r="D52" s="37" t="s">
        <v>29</v>
      </c>
      <c r="E52">
        <v>51</v>
      </c>
      <c r="G52">
        <v>51</v>
      </c>
      <c r="H52" s="184" t="s">
        <v>1349</v>
      </c>
      <c r="J52">
        <v>51</v>
      </c>
      <c r="K52" t="s">
        <v>29</v>
      </c>
    </row>
    <row r="53" spans="1:11">
      <c r="A53" s="185">
        <v>52</v>
      </c>
      <c r="B53" s="185" t="s">
        <v>895</v>
      </c>
      <c r="D53" s="79" t="s">
        <v>126</v>
      </c>
      <c r="E53">
        <v>52</v>
      </c>
      <c r="G53">
        <v>52</v>
      </c>
      <c r="H53" s="184" t="s">
        <v>1351</v>
      </c>
      <c r="J53">
        <v>52</v>
      </c>
      <c r="K53" t="s">
        <v>126</v>
      </c>
    </row>
    <row r="54" spans="1:11">
      <c r="A54" s="185">
        <v>53</v>
      </c>
      <c r="B54" s="185" t="s">
        <v>899</v>
      </c>
      <c r="D54" s="37" t="s">
        <v>160</v>
      </c>
      <c r="E54">
        <v>53</v>
      </c>
      <c r="G54">
        <v>53</v>
      </c>
      <c r="H54" s="184" t="s">
        <v>895</v>
      </c>
      <c r="J54">
        <v>53</v>
      </c>
      <c r="K54" t="s">
        <v>160</v>
      </c>
    </row>
    <row r="55" spans="1:11">
      <c r="A55" s="185">
        <v>54</v>
      </c>
      <c r="B55" s="185" t="s">
        <v>900</v>
      </c>
      <c r="G55">
        <v>54</v>
      </c>
      <c r="H55" s="184" t="s">
        <v>1354</v>
      </c>
      <c r="J55">
        <v>54</v>
      </c>
      <c r="K55" t="s">
        <v>1384</v>
      </c>
    </row>
    <row r="56" spans="1:11">
      <c r="A56" s="185">
        <v>55</v>
      </c>
      <c r="B56" s="185" t="s">
        <v>901</v>
      </c>
      <c r="G56">
        <v>55</v>
      </c>
      <c r="H56" s="184" t="s">
        <v>1355</v>
      </c>
      <c r="J56">
        <v>55</v>
      </c>
      <c r="K56" t="s">
        <v>1217</v>
      </c>
    </row>
    <row r="57" spans="1:11">
      <c r="A57" s="185">
        <v>56</v>
      </c>
      <c r="B57" s="185" t="s">
        <v>902</v>
      </c>
      <c r="G57">
        <v>56</v>
      </c>
      <c r="H57" s="184" t="s">
        <v>1356</v>
      </c>
    </row>
    <row r="58" spans="1:11">
      <c r="A58" s="185">
        <v>57</v>
      </c>
      <c r="B58" s="185" t="s">
        <v>903</v>
      </c>
      <c r="G58">
        <v>57</v>
      </c>
      <c r="H58" s="184" t="s">
        <v>1332</v>
      </c>
    </row>
    <row r="59" spans="1:11">
      <c r="A59" s="185">
        <v>58</v>
      </c>
      <c r="B59" s="185" t="s">
        <v>904</v>
      </c>
      <c r="G59">
        <v>58</v>
      </c>
      <c r="H59" s="184" t="s">
        <v>1357</v>
      </c>
    </row>
    <row r="60" spans="1:11">
      <c r="A60" s="185">
        <v>59</v>
      </c>
      <c r="B60" s="185" t="s">
        <v>905</v>
      </c>
      <c r="G60">
        <v>59</v>
      </c>
      <c r="H60" s="184" t="s">
        <v>1358</v>
      </c>
    </row>
    <row r="61" spans="1:11">
      <c r="A61" s="185">
        <v>60</v>
      </c>
      <c r="B61" s="185" t="s">
        <v>906</v>
      </c>
      <c r="G61">
        <v>60</v>
      </c>
      <c r="H61" s="184" t="s">
        <v>1351</v>
      </c>
    </row>
    <row r="62" spans="1:11">
      <c r="A62" s="185">
        <v>61</v>
      </c>
      <c r="B62" s="185" t="s">
        <v>907</v>
      </c>
      <c r="G62">
        <v>61</v>
      </c>
      <c r="H62" s="184" t="s">
        <v>1359</v>
      </c>
    </row>
    <row r="63" spans="1:11">
      <c r="A63" s="185">
        <v>62</v>
      </c>
      <c r="B63" s="185" t="s">
        <v>890</v>
      </c>
      <c r="G63">
        <v>62</v>
      </c>
      <c r="H63" s="184" t="s">
        <v>1360</v>
      </c>
    </row>
    <row r="64" spans="1:11">
      <c r="A64" s="185">
        <v>63</v>
      </c>
      <c r="B64" s="185" t="s">
        <v>908</v>
      </c>
      <c r="G64">
        <v>63</v>
      </c>
      <c r="H64" s="184" t="s">
        <v>1361</v>
      </c>
    </row>
    <row r="65" spans="1:8">
      <c r="A65" s="185">
        <v>64</v>
      </c>
      <c r="B65" s="185" t="s">
        <v>909</v>
      </c>
      <c r="G65">
        <v>64</v>
      </c>
      <c r="H65" s="184" t="s">
        <v>1362</v>
      </c>
    </row>
    <row r="66" spans="1:8">
      <c r="A66" s="185">
        <v>65</v>
      </c>
      <c r="B66" s="185" t="s">
        <v>910</v>
      </c>
      <c r="G66">
        <v>65</v>
      </c>
      <c r="H66" s="184" t="s">
        <v>1363</v>
      </c>
    </row>
    <row r="67" spans="1:8">
      <c r="A67" s="185">
        <v>66</v>
      </c>
      <c r="B67" s="185" t="s">
        <v>911</v>
      </c>
      <c r="G67">
        <v>66</v>
      </c>
      <c r="H67" s="184" t="s">
        <v>1364</v>
      </c>
    </row>
    <row r="68" spans="1:8">
      <c r="A68" s="185">
        <v>67</v>
      </c>
      <c r="B68" s="185" t="s">
        <v>895</v>
      </c>
      <c r="G68">
        <v>67</v>
      </c>
      <c r="H68" s="184" t="s">
        <v>1365</v>
      </c>
    </row>
    <row r="69" spans="1:8">
      <c r="A69" s="185">
        <v>68</v>
      </c>
      <c r="B69" s="185" t="s">
        <v>912</v>
      </c>
      <c r="G69">
        <v>68</v>
      </c>
      <c r="H69" s="184" t="s">
        <v>1366</v>
      </c>
    </row>
    <row r="70" spans="1:8">
      <c r="A70" s="185">
        <v>69</v>
      </c>
      <c r="B70" s="185" t="s">
        <v>906</v>
      </c>
      <c r="G70">
        <v>69</v>
      </c>
      <c r="H70" s="184" t="s">
        <v>1367</v>
      </c>
    </row>
    <row r="71" spans="1:8">
      <c r="A71" s="185">
        <v>70</v>
      </c>
      <c r="B71" s="185" t="s">
        <v>902</v>
      </c>
      <c r="G71">
        <v>70</v>
      </c>
      <c r="H71" s="184" t="s">
        <v>1368</v>
      </c>
    </row>
    <row r="72" spans="1:8">
      <c r="A72" s="185">
        <v>71</v>
      </c>
      <c r="B72" s="185" t="s">
        <v>913</v>
      </c>
      <c r="G72">
        <v>71</v>
      </c>
      <c r="H72" s="184" t="s">
        <v>1369</v>
      </c>
    </row>
    <row r="73" spans="1:8">
      <c r="A73" s="185">
        <v>72</v>
      </c>
      <c r="B73" s="185" t="s">
        <v>914</v>
      </c>
      <c r="G73">
        <v>72</v>
      </c>
      <c r="H73" s="184" t="s">
        <v>1367</v>
      </c>
    </row>
    <row r="74" spans="1:8">
      <c r="A74" s="185">
        <v>73</v>
      </c>
      <c r="B74" s="185" t="s">
        <v>915</v>
      </c>
      <c r="G74">
        <v>73</v>
      </c>
      <c r="H74" s="184" t="s">
        <v>1370</v>
      </c>
    </row>
    <row r="75" spans="1:8">
      <c r="A75" s="185">
        <v>74</v>
      </c>
      <c r="B75" s="185" t="s">
        <v>916</v>
      </c>
      <c r="G75">
        <v>74</v>
      </c>
      <c r="H75" s="184" t="s">
        <v>1371</v>
      </c>
    </row>
    <row r="76" spans="1:8">
      <c r="A76" s="185">
        <v>75</v>
      </c>
      <c r="B76" s="185" t="s">
        <v>917</v>
      </c>
      <c r="G76">
        <v>75</v>
      </c>
      <c r="H76" s="184" t="s">
        <v>1372</v>
      </c>
    </row>
    <row r="77" spans="1:8">
      <c r="A77" s="185">
        <v>76</v>
      </c>
      <c r="B77" s="185" t="s">
        <v>915</v>
      </c>
      <c r="G77">
        <v>76</v>
      </c>
      <c r="H77" s="184" t="s">
        <v>939</v>
      </c>
    </row>
    <row r="78" spans="1:8">
      <c r="A78" s="185">
        <v>77</v>
      </c>
      <c r="B78" s="185" t="s">
        <v>918</v>
      </c>
      <c r="G78">
        <v>77</v>
      </c>
      <c r="H78" s="184" t="s">
        <v>940</v>
      </c>
    </row>
    <row r="79" spans="1:8">
      <c r="A79" s="185">
        <v>78</v>
      </c>
      <c r="B79" s="185" t="s">
        <v>916</v>
      </c>
      <c r="G79">
        <v>78</v>
      </c>
      <c r="H79" s="184" t="s">
        <v>949</v>
      </c>
    </row>
    <row r="80" spans="1:8">
      <c r="A80" s="185">
        <v>79</v>
      </c>
      <c r="B80" s="185" t="s">
        <v>919</v>
      </c>
      <c r="G80">
        <v>79</v>
      </c>
      <c r="H80" s="184" t="s">
        <v>1373</v>
      </c>
    </row>
    <row r="81" spans="1:8">
      <c r="A81" s="185">
        <v>80</v>
      </c>
      <c r="B81" s="185" t="s">
        <v>920</v>
      </c>
      <c r="G81">
        <v>80</v>
      </c>
      <c r="H81" s="184" t="s">
        <v>1366</v>
      </c>
    </row>
    <row r="82" spans="1:8">
      <c r="A82" s="185">
        <v>81</v>
      </c>
      <c r="B82" s="185" t="s">
        <v>911</v>
      </c>
      <c r="G82">
        <v>81</v>
      </c>
      <c r="H82" s="184" t="s">
        <v>1374</v>
      </c>
    </row>
    <row r="83" spans="1:8">
      <c r="A83" s="185">
        <v>82</v>
      </c>
      <c r="B83" s="185" t="s">
        <v>921</v>
      </c>
      <c r="G83">
        <v>82</v>
      </c>
      <c r="H83" s="184" t="s">
        <v>939</v>
      </c>
    </row>
    <row r="84" spans="1:8">
      <c r="A84" s="185">
        <v>83</v>
      </c>
      <c r="B84" s="185" t="s">
        <v>922</v>
      </c>
      <c r="G84">
        <v>83</v>
      </c>
      <c r="H84" s="184" t="s">
        <v>1366</v>
      </c>
    </row>
    <row r="85" spans="1:8">
      <c r="A85" s="185">
        <v>84</v>
      </c>
      <c r="B85" s="185" t="s">
        <v>923</v>
      </c>
      <c r="G85">
        <v>84</v>
      </c>
      <c r="H85" s="184" t="s">
        <v>1375</v>
      </c>
    </row>
    <row r="86" spans="1:8">
      <c r="A86" s="185">
        <v>85</v>
      </c>
      <c r="B86" s="185" t="s">
        <v>924</v>
      </c>
      <c r="G86">
        <v>85</v>
      </c>
      <c r="H86" s="184" t="s">
        <v>1346</v>
      </c>
    </row>
    <row r="87" spans="1:8">
      <c r="A87" s="185">
        <v>86</v>
      </c>
      <c r="B87" s="185" t="s">
        <v>925</v>
      </c>
      <c r="G87">
        <v>86</v>
      </c>
      <c r="H87" s="184" t="s">
        <v>1376</v>
      </c>
    </row>
    <row r="88" spans="1:8">
      <c r="A88" s="185">
        <v>87</v>
      </c>
      <c r="B88" s="185" t="s">
        <v>921</v>
      </c>
      <c r="G88">
        <v>87</v>
      </c>
      <c r="H88" s="184" t="s">
        <v>1377</v>
      </c>
    </row>
    <row r="89" spans="1:8">
      <c r="A89" s="185">
        <v>88</v>
      </c>
      <c r="B89" s="185" t="s">
        <v>926</v>
      </c>
      <c r="G89">
        <v>88</v>
      </c>
      <c r="H89" s="184" t="s">
        <v>1378</v>
      </c>
    </row>
    <row r="90" spans="1:8">
      <c r="A90" s="185">
        <v>89</v>
      </c>
      <c r="B90" s="185" t="s">
        <v>927</v>
      </c>
      <c r="G90">
        <v>89</v>
      </c>
      <c r="H90" s="184" t="s">
        <v>1379</v>
      </c>
    </row>
    <row r="91" spans="1:8">
      <c r="A91" s="185">
        <v>90</v>
      </c>
      <c r="B91" s="185" t="s">
        <v>923</v>
      </c>
    </row>
    <row r="92" spans="1:8">
      <c r="A92" s="185">
        <v>91</v>
      </c>
      <c r="B92" s="185" t="s">
        <v>928</v>
      </c>
    </row>
    <row r="93" spans="1:8">
      <c r="A93" s="185">
        <v>92</v>
      </c>
      <c r="B93" s="185" t="s">
        <v>929</v>
      </c>
    </row>
    <row r="94" spans="1:8">
      <c r="A94" s="185">
        <v>93</v>
      </c>
      <c r="B94" s="185" t="s">
        <v>930</v>
      </c>
    </row>
    <row r="95" spans="1:8">
      <c r="A95" s="185">
        <v>94</v>
      </c>
      <c r="B95" s="185" t="s">
        <v>923</v>
      </c>
    </row>
    <row r="96" spans="1:8">
      <c r="A96" s="185">
        <v>95</v>
      </c>
      <c r="B96" s="185" t="s">
        <v>931</v>
      </c>
    </row>
    <row r="97" spans="1:2">
      <c r="A97" s="185">
        <v>96</v>
      </c>
      <c r="B97" s="185" t="s">
        <v>891</v>
      </c>
    </row>
    <row r="98" spans="1:2">
      <c r="A98" s="185">
        <v>97</v>
      </c>
      <c r="B98" s="185" t="s">
        <v>932</v>
      </c>
    </row>
    <row r="99" spans="1:2">
      <c r="A99" s="185">
        <v>98</v>
      </c>
      <c r="B99" s="185" t="s">
        <v>927</v>
      </c>
    </row>
    <row r="100" spans="1:2">
      <c r="A100" s="185">
        <v>99</v>
      </c>
      <c r="B100" s="185" t="s">
        <v>933</v>
      </c>
    </row>
    <row r="101" spans="1:2">
      <c r="A101" s="185">
        <v>100</v>
      </c>
      <c r="B101" s="185" t="s">
        <v>929</v>
      </c>
    </row>
    <row r="102" spans="1:2">
      <c r="A102" s="185">
        <v>101</v>
      </c>
      <c r="B102" s="185" t="s">
        <v>934</v>
      </c>
    </row>
    <row r="103" spans="1:2">
      <c r="A103" s="185">
        <v>102</v>
      </c>
      <c r="B103" s="185" t="s">
        <v>935</v>
      </c>
    </row>
    <row r="104" spans="1:2">
      <c r="A104" s="185">
        <v>103</v>
      </c>
      <c r="B104" s="185" t="s">
        <v>936</v>
      </c>
    </row>
    <row r="105" spans="1:2">
      <c r="A105" s="185">
        <v>104</v>
      </c>
      <c r="B105" s="185" t="s">
        <v>934</v>
      </c>
    </row>
    <row r="106" spans="1:2">
      <c r="A106" s="185">
        <v>105</v>
      </c>
      <c r="B106" s="185" t="s">
        <v>937</v>
      </c>
    </row>
    <row r="107" spans="1:2">
      <c r="A107" s="185">
        <v>106</v>
      </c>
      <c r="B107" s="185" t="s">
        <v>916</v>
      </c>
    </row>
    <row r="108" spans="1:2">
      <c r="A108" s="185">
        <v>107</v>
      </c>
      <c r="B108" s="185" t="s">
        <v>938</v>
      </c>
    </row>
    <row r="109" spans="1:2">
      <c r="A109" s="185">
        <v>108</v>
      </c>
      <c r="B109" s="185" t="s">
        <v>923</v>
      </c>
    </row>
    <row r="110" spans="1:2">
      <c r="A110" s="185">
        <v>109</v>
      </c>
      <c r="B110" s="185" t="s">
        <v>939</v>
      </c>
    </row>
    <row r="111" spans="1:2">
      <c r="A111" s="185">
        <v>110</v>
      </c>
      <c r="B111" s="185" t="s">
        <v>940</v>
      </c>
    </row>
    <row r="112" spans="1:2">
      <c r="A112" s="185">
        <v>111</v>
      </c>
      <c r="B112" s="185" t="s">
        <v>941</v>
      </c>
    </row>
    <row r="113" spans="1:2">
      <c r="A113" s="185">
        <v>112</v>
      </c>
      <c r="B113" s="185" t="s">
        <v>942</v>
      </c>
    </row>
    <row r="114" spans="1:2">
      <c r="A114" s="185">
        <v>113</v>
      </c>
      <c r="B114" s="185" t="s">
        <v>937</v>
      </c>
    </row>
    <row r="115" spans="1:2">
      <c r="A115" s="185">
        <v>114</v>
      </c>
      <c r="B115" s="185" t="s">
        <v>943</v>
      </c>
    </row>
    <row r="116" spans="1:2">
      <c r="A116" s="185">
        <v>115</v>
      </c>
      <c r="B116" s="185" t="s">
        <v>944</v>
      </c>
    </row>
    <row r="117" spans="1:2">
      <c r="A117" s="185">
        <v>116</v>
      </c>
      <c r="B117" s="185" t="s">
        <v>945</v>
      </c>
    </row>
    <row r="118" spans="1:2">
      <c r="A118" s="185">
        <v>117</v>
      </c>
      <c r="B118" s="185" t="s">
        <v>946</v>
      </c>
    </row>
    <row r="119" spans="1:2">
      <c r="A119" s="185">
        <v>118</v>
      </c>
      <c r="B119" s="185" t="s">
        <v>947</v>
      </c>
    </row>
    <row r="120" spans="1:2">
      <c r="A120" s="185">
        <v>119</v>
      </c>
      <c r="B120" s="185" t="s">
        <v>948</v>
      </c>
    </row>
    <row r="121" spans="1:2">
      <c r="A121" s="185">
        <v>120</v>
      </c>
      <c r="B121" s="185" t="s">
        <v>949</v>
      </c>
    </row>
    <row r="122" spans="1:2">
      <c r="A122" s="185">
        <v>121</v>
      </c>
      <c r="B122" s="185" t="s">
        <v>950</v>
      </c>
    </row>
    <row r="123" spans="1:2">
      <c r="A123" s="185">
        <v>122</v>
      </c>
      <c r="B123" s="185" t="s">
        <v>951</v>
      </c>
    </row>
    <row r="124" spans="1:2">
      <c r="A124" s="185">
        <v>123</v>
      </c>
      <c r="B124" s="185" t="s">
        <v>952</v>
      </c>
    </row>
    <row r="125" spans="1:2">
      <c r="A125" s="185">
        <v>124</v>
      </c>
      <c r="B125" s="185" t="s">
        <v>953</v>
      </c>
    </row>
    <row r="126" spans="1:2">
      <c r="A126" s="185">
        <v>125</v>
      </c>
      <c r="B126" s="185" t="s">
        <v>954</v>
      </c>
    </row>
    <row r="127" spans="1:2">
      <c r="A127" s="185">
        <v>126</v>
      </c>
      <c r="B127" s="185" t="s">
        <v>888</v>
      </c>
    </row>
    <row r="128" spans="1:2">
      <c r="A128" s="185">
        <v>127</v>
      </c>
      <c r="B128" s="185" t="s">
        <v>922</v>
      </c>
    </row>
    <row r="129" spans="1:2">
      <c r="A129" s="185">
        <v>128</v>
      </c>
      <c r="B129" s="185" t="s">
        <v>955</v>
      </c>
    </row>
    <row r="130" spans="1:2">
      <c r="A130" s="185">
        <v>129</v>
      </c>
      <c r="B130" s="185" t="s">
        <v>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23"/>
  <sheetViews>
    <sheetView topLeftCell="A105" zoomScale="84" zoomScaleNormal="84" workbookViewId="0">
      <selection activeCell="A2" sqref="A2:B121"/>
    </sheetView>
  </sheetViews>
  <sheetFormatPr defaultRowHeight="15"/>
  <cols>
    <col min="1" max="1" width="4" bestFit="1" customWidth="1"/>
    <col min="2" max="2" width="40.28515625" bestFit="1" customWidth="1"/>
    <col min="3" max="3" width="24.42578125" bestFit="1" customWidth="1"/>
    <col min="4" max="4" width="23.28515625" bestFit="1" customWidth="1"/>
    <col min="6" max="6" width="9.85546875" customWidth="1"/>
    <col min="7" max="7" width="12.5703125" bestFit="1" customWidth="1"/>
    <col min="8" max="8" width="12" bestFit="1" customWidth="1"/>
    <col min="9" max="10" width="12.42578125" bestFit="1" customWidth="1"/>
    <col min="11" max="11" width="13.42578125" bestFit="1" customWidth="1"/>
    <col min="14" max="14" width="16.5703125" bestFit="1" customWidth="1"/>
  </cols>
  <sheetData>
    <row r="1" spans="1:16" ht="25.5">
      <c r="A1" s="85" t="s">
        <v>175</v>
      </c>
      <c r="B1" s="85" t="s">
        <v>176</v>
      </c>
      <c r="C1" s="85" t="s">
        <v>177</v>
      </c>
      <c r="D1" s="2" t="s">
        <v>178</v>
      </c>
      <c r="E1" s="2" t="s">
        <v>180</v>
      </c>
      <c r="F1" s="2" t="s">
        <v>179</v>
      </c>
      <c r="G1" s="2" t="s">
        <v>181</v>
      </c>
      <c r="H1" s="2" t="s">
        <v>182</v>
      </c>
      <c r="I1" s="2" t="s">
        <v>184</v>
      </c>
      <c r="J1" s="2" t="s">
        <v>183</v>
      </c>
      <c r="K1" s="2" t="s">
        <v>187</v>
      </c>
      <c r="L1" s="2" t="s">
        <v>185</v>
      </c>
      <c r="M1" s="2" t="s">
        <v>186</v>
      </c>
    </row>
    <row r="2" spans="1:16">
      <c r="A2">
        <v>1</v>
      </c>
      <c r="B2" t="s">
        <v>623</v>
      </c>
      <c r="C2" t="s">
        <v>298</v>
      </c>
      <c r="D2" t="s">
        <v>966</v>
      </c>
      <c r="E2" s="8">
        <v>40268</v>
      </c>
      <c r="F2" s="8">
        <v>40268</v>
      </c>
      <c r="G2">
        <v>9169878</v>
      </c>
      <c r="H2">
        <v>6234723</v>
      </c>
      <c r="I2">
        <v>15463191.26</v>
      </c>
      <c r="L2" t="s">
        <v>17</v>
      </c>
      <c r="M2">
        <v>0</v>
      </c>
      <c r="P2" t="s">
        <v>1221</v>
      </c>
    </row>
    <row r="3" spans="1:16">
      <c r="A3">
        <v>2</v>
      </c>
      <c r="B3" t="s">
        <v>623</v>
      </c>
      <c r="C3" t="s">
        <v>298</v>
      </c>
      <c r="D3" t="s">
        <v>967</v>
      </c>
      <c r="E3" s="8">
        <v>40573</v>
      </c>
      <c r="F3" s="8">
        <v>40573</v>
      </c>
      <c r="G3">
        <v>8208516</v>
      </c>
      <c r="H3">
        <v>390000</v>
      </c>
      <c r="I3">
        <v>14821493</v>
      </c>
      <c r="L3" t="s">
        <v>17</v>
      </c>
      <c r="M3">
        <v>0</v>
      </c>
      <c r="P3" t="s">
        <v>1222</v>
      </c>
    </row>
    <row r="4" spans="1:16">
      <c r="A4">
        <v>3</v>
      </c>
      <c r="B4" t="s">
        <v>623</v>
      </c>
      <c r="C4" t="s">
        <v>298</v>
      </c>
      <c r="D4" t="s">
        <v>968</v>
      </c>
      <c r="E4" s="8">
        <v>40588</v>
      </c>
      <c r="F4" s="8">
        <v>40588</v>
      </c>
      <c r="G4">
        <v>8650697</v>
      </c>
      <c r="H4">
        <v>5010109</v>
      </c>
      <c r="I4">
        <v>4443288</v>
      </c>
      <c r="J4">
        <v>34727972.259999998</v>
      </c>
      <c r="L4" t="s">
        <v>17</v>
      </c>
      <c r="M4">
        <v>0</v>
      </c>
      <c r="N4" t="s">
        <v>969</v>
      </c>
      <c r="P4" t="s">
        <v>1223</v>
      </c>
    </row>
    <row r="5" spans="1:16">
      <c r="A5">
        <v>4</v>
      </c>
      <c r="B5" t="s">
        <v>970</v>
      </c>
      <c r="C5" t="s">
        <v>1226</v>
      </c>
      <c r="D5" t="s">
        <v>971</v>
      </c>
      <c r="E5" s="8">
        <v>40918</v>
      </c>
      <c r="F5" s="8">
        <v>40918</v>
      </c>
      <c r="G5">
        <v>17911193</v>
      </c>
      <c r="H5">
        <v>1391475</v>
      </c>
      <c r="I5">
        <v>49046232.560000002</v>
      </c>
      <c r="L5" t="s">
        <v>47</v>
      </c>
      <c r="M5">
        <v>0</v>
      </c>
      <c r="N5" t="s">
        <v>972</v>
      </c>
    </row>
    <row r="6" spans="1:16">
      <c r="A6">
        <v>5</v>
      </c>
      <c r="B6" t="s">
        <v>973</v>
      </c>
      <c r="C6" t="s">
        <v>1226</v>
      </c>
      <c r="D6" t="s">
        <v>974</v>
      </c>
      <c r="E6" s="8">
        <v>41410</v>
      </c>
      <c r="F6" s="8">
        <v>41410</v>
      </c>
      <c r="G6">
        <v>27521876.57</v>
      </c>
      <c r="H6">
        <v>0</v>
      </c>
      <c r="I6">
        <v>77351750.430000007</v>
      </c>
      <c r="J6">
        <v>126397982.99000001</v>
      </c>
      <c r="L6" t="s">
        <v>47</v>
      </c>
      <c r="M6">
        <v>0</v>
      </c>
    </row>
    <row r="7" spans="1:16">
      <c r="A7">
        <v>6</v>
      </c>
      <c r="B7" t="s">
        <v>973</v>
      </c>
      <c r="C7" t="s">
        <v>975</v>
      </c>
      <c r="D7" t="s">
        <v>976</v>
      </c>
      <c r="E7" s="38">
        <v>41347</v>
      </c>
      <c r="F7" s="38">
        <v>41347</v>
      </c>
      <c r="G7">
        <v>1350000</v>
      </c>
      <c r="H7">
        <v>0</v>
      </c>
      <c r="I7">
        <v>854778</v>
      </c>
      <c r="J7">
        <v>854778</v>
      </c>
      <c r="L7" t="s">
        <v>17</v>
      </c>
      <c r="M7">
        <v>0</v>
      </c>
    </row>
    <row r="8" spans="1:16">
      <c r="A8">
        <v>7</v>
      </c>
      <c r="B8" t="s">
        <v>977</v>
      </c>
      <c r="C8" t="s">
        <v>1226</v>
      </c>
      <c r="D8" t="s">
        <v>978</v>
      </c>
      <c r="E8" s="8">
        <v>41295</v>
      </c>
      <c r="F8" s="8">
        <v>41295</v>
      </c>
      <c r="G8">
        <v>5070000</v>
      </c>
      <c r="H8">
        <v>2323073</v>
      </c>
      <c r="I8">
        <v>0</v>
      </c>
      <c r="J8">
        <v>0</v>
      </c>
      <c r="L8" t="s">
        <v>17</v>
      </c>
      <c r="M8">
        <v>0</v>
      </c>
      <c r="N8" t="s">
        <v>979</v>
      </c>
    </row>
    <row r="9" spans="1:16">
      <c r="A9">
        <v>8</v>
      </c>
      <c r="B9" t="s">
        <v>980</v>
      </c>
      <c r="C9" t="s">
        <v>975</v>
      </c>
      <c r="D9" t="s">
        <v>981</v>
      </c>
      <c r="E9" s="8">
        <v>41911</v>
      </c>
      <c r="F9" s="8">
        <v>41911</v>
      </c>
      <c r="G9">
        <v>87507000</v>
      </c>
      <c r="H9">
        <v>0</v>
      </c>
      <c r="I9">
        <v>90467850.5</v>
      </c>
      <c r="J9">
        <v>90467850.5</v>
      </c>
      <c r="L9" t="s">
        <v>47</v>
      </c>
      <c r="M9">
        <v>0</v>
      </c>
    </row>
    <row r="10" spans="1:16">
      <c r="A10">
        <v>9</v>
      </c>
      <c r="B10" t="s">
        <v>982</v>
      </c>
      <c r="C10" t="s">
        <v>1226</v>
      </c>
      <c r="D10" t="s">
        <v>983</v>
      </c>
      <c r="E10" s="8">
        <v>43186</v>
      </c>
      <c r="F10" s="8">
        <v>43186</v>
      </c>
      <c r="G10">
        <v>18032074</v>
      </c>
      <c r="H10">
        <v>708000</v>
      </c>
      <c r="I10">
        <v>26838758</v>
      </c>
      <c r="L10" t="s">
        <v>17</v>
      </c>
      <c r="M10" t="s">
        <v>48</v>
      </c>
      <c r="N10" t="s">
        <v>984</v>
      </c>
    </row>
    <row r="11" spans="1:16">
      <c r="A11">
        <v>10</v>
      </c>
      <c r="B11" t="s">
        <v>982</v>
      </c>
      <c r="C11" t="s">
        <v>1226</v>
      </c>
      <c r="D11" t="s">
        <v>985</v>
      </c>
      <c r="E11" s="8">
        <v>43240</v>
      </c>
      <c r="F11" s="8">
        <v>43240</v>
      </c>
      <c r="G11">
        <v>14665976</v>
      </c>
      <c r="H11">
        <v>0</v>
      </c>
      <c r="I11">
        <v>21960580</v>
      </c>
      <c r="J11">
        <v>48799338</v>
      </c>
      <c r="L11" t="s">
        <v>17</v>
      </c>
      <c r="N11" t="s">
        <v>986</v>
      </c>
    </row>
    <row r="12" spans="1:16">
      <c r="A12">
        <v>11</v>
      </c>
      <c r="B12" t="s">
        <v>987</v>
      </c>
      <c r="C12" t="s">
        <v>1226</v>
      </c>
      <c r="D12" t="s">
        <v>988</v>
      </c>
      <c r="E12" s="186">
        <v>43277</v>
      </c>
      <c r="F12" s="186">
        <v>43277</v>
      </c>
      <c r="G12">
        <v>237497804.91999999</v>
      </c>
      <c r="H12">
        <v>6120920</v>
      </c>
      <c r="I12">
        <v>355079486</v>
      </c>
      <c r="J12">
        <v>355079486</v>
      </c>
      <c r="L12" t="s">
        <v>989</v>
      </c>
      <c r="N12" t="s">
        <v>990</v>
      </c>
    </row>
    <row r="13" spans="1:16">
      <c r="A13">
        <v>12</v>
      </c>
      <c r="B13" t="s">
        <v>991</v>
      </c>
      <c r="C13" t="s">
        <v>298</v>
      </c>
      <c r="D13" t="s">
        <v>992</v>
      </c>
      <c r="E13" s="186">
        <v>43774</v>
      </c>
      <c r="F13" s="186">
        <v>45810</v>
      </c>
      <c r="G13">
        <v>2900000</v>
      </c>
      <c r="H13">
        <v>10522264</v>
      </c>
      <c r="I13">
        <v>38570094</v>
      </c>
      <c r="J13">
        <v>38570094</v>
      </c>
      <c r="L13" t="s">
        <v>993</v>
      </c>
      <c r="N13" t="s">
        <v>994</v>
      </c>
      <c r="P13" t="s">
        <v>1224</v>
      </c>
    </row>
    <row r="14" spans="1:16">
      <c r="A14">
        <v>13</v>
      </c>
      <c r="B14" t="s">
        <v>995</v>
      </c>
      <c r="C14" t="s">
        <v>298</v>
      </c>
      <c r="D14" t="s">
        <v>996</v>
      </c>
      <c r="E14" s="186">
        <v>43579</v>
      </c>
      <c r="F14" s="186">
        <v>43591</v>
      </c>
      <c r="G14">
        <v>49708583.310000002</v>
      </c>
      <c r="H14">
        <v>21823183</v>
      </c>
      <c r="I14">
        <v>38742828</v>
      </c>
      <c r="J14">
        <v>38742828</v>
      </c>
      <c r="L14" t="s">
        <v>997</v>
      </c>
      <c r="N14" t="s">
        <v>998</v>
      </c>
      <c r="P14" t="s">
        <v>1225</v>
      </c>
    </row>
    <row r="15" spans="1:16">
      <c r="A15">
        <v>14</v>
      </c>
      <c r="B15" t="s">
        <v>999</v>
      </c>
      <c r="C15" t="s">
        <v>1226</v>
      </c>
      <c r="D15" t="s">
        <v>1000</v>
      </c>
      <c r="E15" s="187">
        <v>43557</v>
      </c>
      <c r="F15" s="187">
        <v>43557</v>
      </c>
      <c r="G15">
        <v>269527358</v>
      </c>
      <c r="I15">
        <v>0</v>
      </c>
      <c r="J15">
        <v>0</v>
      </c>
      <c r="L15" t="s">
        <v>53</v>
      </c>
      <c r="N15" t="s">
        <v>1001</v>
      </c>
    </row>
    <row r="16" spans="1:16">
      <c r="A16">
        <v>15</v>
      </c>
      <c r="B16" t="s">
        <v>1002</v>
      </c>
      <c r="C16" t="s">
        <v>1226</v>
      </c>
      <c r="D16" t="s">
        <v>1000</v>
      </c>
      <c r="E16" s="187">
        <v>43557</v>
      </c>
      <c r="F16" s="187">
        <v>43557</v>
      </c>
      <c r="G16">
        <v>269527358</v>
      </c>
      <c r="H16">
        <v>105220819</v>
      </c>
      <c r="I16">
        <v>240360513</v>
      </c>
      <c r="J16">
        <v>240360513</v>
      </c>
      <c r="K16" t="s">
        <v>1003</v>
      </c>
      <c r="L16" t="s">
        <v>53</v>
      </c>
      <c r="N16" t="s">
        <v>1001</v>
      </c>
    </row>
    <row r="17" spans="1:16">
      <c r="A17">
        <v>16</v>
      </c>
      <c r="B17" t="s">
        <v>1004</v>
      </c>
      <c r="C17" t="s">
        <v>1226</v>
      </c>
      <c r="D17" t="s">
        <v>1005</v>
      </c>
      <c r="E17" s="188">
        <v>43599</v>
      </c>
      <c r="F17" s="188">
        <v>43599</v>
      </c>
      <c r="I17" t="s">
        <v>141</v>
      </c>
      <c r="J17">
        <v>0</v>
      </c>
      <c r="N17" t="s">
        <v>1006</v>
      </c>
    </row>
    <row r="18" spans="1:16">
      <c r="A18">
        <v>17</v>
      </c>
      <c r="B18" t="s">
        <v>1007</v>
      </c>
      <c r="C18" t="s">
        <v>1226</v>
      </c>
      <c r="D18" t="s">
        <v>1005</v>
      </c>
      <c r="E18" s="188">
        <v>43599</v>
      </c>
      <c r="F18" s="188">
        <v>43599</v>
      </c>
      <c r="G18" t="s">
        <v>1008</v>
      </c>
      <c r="H18">
        <v>303572247.6500001</v>
      </c>
      <c r="I18">
        <v>837049050</v>
      </c>
      <c r="J18">
        <v>837049050</v>
      </c>
      <c r="K18" t="s">
        <v>1009</v>
      </c>
      <c r="L18" t="s">
        <v>53</v>
      </c>
      <c r="N18" t="s">
        <v>1006</v>
      </c>
    </row>
    <row r="19" spans="1:16">
      <c r="A19">
        <v>18</v>
      </c>
      <c r="B19" t="s">
        <v>1010</v>
      </c>
      <c r="C19" t="s">
        <v>298</v>
      </c>
      <c r="D19" t="s">
        <v>1011</v>
      </c>
      <c r="E19" s="186">
        <v>43617</v>
      </c>
      <c r="F19" s="186">
        <v>43619</v>
      </c>
      <c r="G19">
        <v>83492848.730000004</v>
      </c>
      <c r="H19">
        <v>23146370</v>
      </c>
      <c r="I19">
        <v>95476426.569999993</v>
      </c>
      <c r="J19">
        <v>95476426.569999993</v>
      </c>
      <c r="L19" t="s">
        <v>53</v>
      </c>
      <c r="N19" t="s">
        <v>1012</v>
      </c>
    </row>
    <row r="20" spans="1:16">
      <c r="A20">
        <v>19</v>
      </c>
      <c r="B20" t="s">
        <v>1013</v>
      </c>
      <c r="C20" t="s">
        <v>1226</v>
      </c>
      <c r="D20" t="s">
        <v>1014</v>
      </c>
      <c r="E20" s="187">
        <v>43668</v>
      </c>
      <c r="F20" s="187">
        <v>43668</v>
      </c>
      <c r="G20">
        <v>433591526.25</v>
      </c>
      <c r="H20">
        <v>30285625</v>
      </c>
      <c r="I20">
        <v>458670113</v>
      </c>
      <c r="J20">
        <v>458670113</v>
      </c>
      <c r="L20" t="s">
        <v>1015</v>
      </c>
    </row>
    <row r="21" spans="1:16">
      <c r="A21">
        <v>20</v>
      </c>
      <c r="B21" t="s">
        <v>1010</v>
      </c>
      <c r="C21" t="s">
        <v>298</v>
      </c>
      <c r="D21" t="s">
        <v>1016</v>
      </c>
      <c r="E21" s="189" t="s">
        <v>1017</v>
      </c>
      <c r="F21" s="186">
        <v>43704</v>
      </c>
      <c r="G21">
        <v>58338960.149999999</v>
      </c>
      <c r="H21">
        <v>12562435</v>
      </c>
      <c r="I21">
        <v>75179764.390000001</v>
      </c>
      <c r="J21">
        <v>75179764.390000001</v>
      </c>
      <c r="N21" t="s">
        <v>1018</v>
      </c>
    </row>
    <row r="22" spans="1:16">
      <c r="A22">
        <v>21</v>
      </c>
      <c r="B22" t="s">
        <v>1019</v>
      </c>
      <c r="C22" t="s">
        <v>1226</v>
      </c>
      <c r="D22" t="s">
        <v>1020</v>
      </c>
      <c r="E22" s="12">
        <v>40987</v>
      </c>
      <c r="F22" s="11" t="s">
        <v>1021</v>
      </c>
      <c r="G22">
        <v>1814723183.3399999</v>
      </c>
      <c r="H22">
        <v>547239690</v>
      </c>
      <c r="I22">
        <v>1925477043.1999998</v>
      </c>
      <c r="J22">
        <v>1925477043.1999998</v>
      </c>
      <c r="L22" t="s">
        <v>1022</v>
      </c>
      <c r="M22">
        <v>0.12</v>
      </c>
      <c r="N22">
        <v>-231500000</v>
      </c>
    </row>
    <row r="23" spans="1:16">
      <c r="A23">
        <v>22</v>
      </c>
      <c r="B23" t="s">
        <v>1013</v>
      </c>
      <c r="C23" t="s">
        <v>1226</v>
      </c>
      <c r="D23" t="s">
        <v>1023</v>
      </c>
      <c r="E23" s="187">
        <v>43248</v>
      </c>
      <c r="F23" s="187">
        <v>43248</v>
      </c>
      <c r="G23">
        <v>546905748.3599999</v>
      </c>
      <c r="H23">
        <v>92925685</v>
      </c>
      <c r="I23">
        <v>584470432.00000012</v>
      </c>
      <c r="J23">
        <v>584470432.00000012</v>
      </c>
      <c r="L23" t="s">
        <v>512</v>
      </c>
      <c r="N23" t="s">
        <v>1024</v>
      </c>
    </row>
    <row r="24" spans="1:16" ht="25.5">
      <c r="A24">
        <v>23</v>
      </c>
      <c r="B24" t="s">
        <v>133</v>
      </c>
      <c r="C24" t="s">
        <v>12</v>
      </c>
      <c r="D24" t="s">
        <v>1025</v>
      </c>
      <c r="E24" s="12" t="s">
        <v>1026</v>
      </c>
      <c r="F24" s="12" t="s">
        <v>1027</v>
      </c>
      <c r="G24">
        <v>115834387.73999999</v>
      </c>
      <c r="H24">
        <v>13075000</v>
      </c>
      <c r="I24">
        <v>942185325</v>
      </c>
      <c r="L24" t="s">
        <v>47</v>
      </c>
      <c r="M24">
        <v>0</v>
      </c>
      <c r="N24" t="s">
        <v>1028</v>
      </c>
      <c r="P24" t="s">
        <v>1227</v>
      </c>
    </row>
    <row r="25" spans="1:16" ht="25.5">
      <c r="A25">
        <v>24</v>
      </c>
      <c r="B25" t="s">
        <v>133</v>
      </c>
      <c r="C25" t="s">
        <v>12</v>
      </c>
      <c r="D25" t="s">
        <v>1029</v>
      </c>
      <c r="E25" s="12" t="s">
        <v>1026</v>
      </c>
      <c r="F25" s="12" t="s">
        <v>1027</v>
      </c>
      <c r="G25">
        <v>520125105.04000002</v>
      </c>
      <c r="H25">
        <v>3100000</v>
      </c>
      <c r="I25">
        <v>582654404</v>
      </c>
      <c r="J25">
        <v>1524839729</v>
      </c>
      <c r="L25" t="s">
        <v>47</v>
      </c>
      <c r="M25">
        <v>0</v>
      </c>
      <c r="N25" t="s">
        <v>1030</v>
      </c>
      <c r="P25" t="s">
        <v>1228</v>
      </c>
    </row>
    <row r="26" spans="1:16" ht="38.25">
      <c r="A26">
        <v>25</v>
      </c>
      <c r="B26" t="s">
        <v>132</v>
      </c>
      <c r="C26" t="s">
        <v>12</v>
      </c>
      <c r="D26" t="s">
        <v>1031</v>
      </c>
      <c r="E26" s="12">
        <v>44158</v>
      </c>
      <c r="F26" s="12" t="s">
        <v>1032</v>
      </c>
      <c r="G26">
        <v>84842526.859999999</v>
      </c>
      <c r="H26">
        <v>100000</v>
      </c>
      <c r="I26">
        <v>99705637</v>
      </c>
      <c r="K26">
        <v>4100000</v>
      </c>
      <c r="L26" t="s">
        <v>1033</v>
      </c>
      <c r="M26">
        <v>0</v>
      </c>
      <c r="N26">
        <v>-4000000</v>
      </c>
      <c r="P26" t="s">
        <v>1229</v>
      </c>
    </row>
    <row r="27" spans="1:16" ht="38.25">
      <c r="A27">
        <v>26</v>
      </c>
      <c r="B27" t="s">
        <v>132</v>
      </c>
      <c r="C27" t="s">
        <v>12</v>
      </c>
      <c r="D27" t="s">
        <v>1034</v>
      </c>
      <c r="E27" s="186">
        <v>42916</v>
      </c>
      <c r="F27" s="186" t="s">
        <v>1032</v>
      </c>
      <c r="G27">
        <v>23369473.140000001</v>
      </c>
      <c r="H27">
        <v>246425</v>
      </c>
      <c r="I27">
        <v>26210255</v>
      </c>
      <c r="J27">
        <v>125915892</v>
      </c>
      <c r="K27">
        <v>1146425</v>
      </c>
      <c r="L27" t="s">
        <v>1035</v>
      </c>
      <c r="M27">
        <v>0</v>
      </c>
      <c r="N27">
        <v>750000</v>
      </c>
    </row>
    <row r="28" spans="1:16" ht="38.25">
      <c r="A28">
        <v>27</v>
      </c>
      <c r="B28" t="s">
        <v>126</v>
      </c>
      <c r="C28" t="s">
        <v>12</v>
      </c>
      <c r="D28" t="s">
        <v>1231</v>
      </c>
      <c r="E28" s="12">
        <v>44157</v>
      </c>
      <c r="F28" s="12" t="s">
        <v>1032</v>
      </c>
      <c r="G28">
        <v>1139373628.8499999</v>
      </c>
      <c r="I28">
        <v>1348136035</v>
      </c>
      <c r="K28" t="s">
        <v>1036</v>
      </c>
      <c r="L28" t="s">
        <v>47</v>
      </c>
      <c r="M28">
        <v>0</v>
      </c>
      <c r="N28" t="s">
        <v>1037</v>
      </c>
      <c r="P28" t="s">
        <v>1230</v>
      </c>
    </row>
    <row r="29" spans="1:16" ht="38.25">
      <c r="A29">
        <v>28</v>
      </c>
      <c r="B29" t="s">
        <v>126</v>
      </c>
      <c r="C29" t="s">
        <v>12</v>
      </c>
      <c r="D29" t="s">
        <v>1038</v>
      </c>
      <c r="E29" s="12">
        <v>44157</v>
      </c>
      <c r="F29" s="12" t="s">
        <v>1032</v>
      </c>
      <c r="G29">
        <v>491316763.52999997</v>
      </c>
      <c r="I29">
        <v>563054937</v>
      </c>
      <c r="J29">
        <v>1911190972</v>
      </c>
      <c r="K29" t="s">
        <v>1039</v>
      </c>
      <c r="L29" t="s">
        <v>1040</v>
      </c>
      <c r="M29">
        <v>0.13</v>
      </c>
      <c r="N29">
        <v>-6700000</v>
      </c>
      <c r="P29" t="s">
        <v>1232</v>
      </c>
    </row>
    <row r="30" spans="1:16">
      <c r="A30">
        <v>29</v>
      </c>
      <c r="E30" s="38"/>
      <c r="F30" s="38"/>
      <c r="I30">
        <v>34727972.259999998</v>
      </c>
      <c r="J30">
        <v>0</v>
      </c>
    </row>
    <row r="31" spans="1:16">
      <c r="A31">
        <v>30</v>
      </c>
      <c r="B31" t="s">
        <v>1041</v>
      </c>
      <c r="C31" t="s">
        <v>1059</v>
      </c>
      <c r="D31" t="s">
        <v>1042</v>
      </c>
      <c r="E31" s="8">
        <v>42366</v>
      </c>
      <c r="F31" s="8">
        <v>44193</v>
      </c>
      <c r="G31">
        <v>845187370.31999993</v>
      </c>
      <c r="H31">
        <v>149550000</v>
      </c>
      <c r="I31">
        <v>1514534696.74</v>
      </c>
      <c r="J31">
        <v>1514534696.74</v>
      </c>
      <c r="L31" t="s">
        <v>1043</v>
      </c>
      <c r="M31">
        <v>0</v>
      </c>
      <c r="N31">
        <v>-32550000</v>
      </c>
      <c r="P31" t="s">
        <v>1233</v>
      </c>
    </row>
    <row r="32" spans="1:16">
      <c r="A32">
        <v>31</v>
      </c>
      <c r="B32" t="s">
        <v>1041</v>
      </c>
      <c r="C32" t="s">
        <v>1059</v>
      </c>
      <c r="D32" t="s">
        <v>1044</v>
      </c>
      <c r="E32" s="8">
        <v>42450</v>
      </c>
      <c r="F32" s="8">
        <v>42450</v>
      </c>
      <c r="G32">
        <v>27783527.34</v>
      </c>
      <c r="I32">
        <v>24503546.199999999</v>
      </c>
      <c r="L32" t="s">
        <v>47</v>
      </c>
      <c r="M32">
        <v>0</v>
      </c>
      <c r="P32" t="s">
        <v>1234</v>
      </c>
    </row>
    <row r="33" spans="1:16">
      <c r="A33">
        <v>32</v>
      </c>
      <c r="B33" t="s">
        <v>1041</v>
      </c>
      <c r="C33" t="s">
        <v>1059</v>
      </c>
      <c r="D33" t="s">
        <v>1045</v>
      </c>
      <c r="E33" s="8">
        <v>42509</v>
      </c>
      <c r="F33" s="8">
        <v>42509</v>
      </c>
      <c r="G33">
        <v>50395772.390000001</v>
      </c>
      <c r="I33">
        <v>54970489</v>
      </c>
      <c r="L33" t="s">
        <v>47</v>
      </c>
      <c r="M33">
        <v>0</v>
      </c>
      <c r="P33" t="s">
        <v>1234</v>
      </c>
    </row>
    <row r="34" spans="1:16">
      <c r="A34">
        <v>33</v>
      </c>
      <c r="B34" t="s">
        <v>1041</v>
      </c>
      <c r="C34" t="s">
        <v>1059</v>
      </c>
      <c r="D34" t="s">
        <v>1046</v>
      </c>
      <c r="E34" s="8">
        <v>42635</v>
      </c>
      <c r="F34" s="8">
        <v>42635</v>
      </c>
      <c r="G34">
        <v>46061085.770000003</v>
      </c>
      <c r="I34">
        <v>187120387.11000001</v>
      </c>
      <c r="J34">
        <v>266594422.31</v>
      </c>
      <c r="L34" t="s">
        <v>47</v>
      </c>
      <c r="M34">
        <v>0</v>
      </c>
      <c r="N34" t="s">
        <v>1047</v>
      </c>
      <c r="P34" t="s">
        <v>1234</v>
      </c>
    </row>
    <row r="35" spans="1:16">
      <c r="A35">
        <v>34</v>
      </c>
      <c r="B35" t="s">
        <v>1048</v>
      </c>
      <c r="C35" t="s">
        <v>1059</v>
      </c>
      <c r="D35" t="s">
        <v>1049</v>
      </c>
      <c r="E35" s="8">
        <v>42509</v>
      </c>
      <c r="F35" s="8">
        <v>42509</v>
      </c>
      <c r="G35">
        <v>127400000</v>
      </c>
      <c r="H35">
        <v>6900000</v>
      </c>
      <c r="I35">
        <v>141882385</v>
      </c>
      <c r="J35">
        <v>141882385</v>
      </c>
      <c r="L35" t="s">
        <v>47</v>
      </c>
      <c r="M35">
        <v>0</v>
      </c>
      <c r="N35">
        <v>-4500000</v>
      </c>
      <c r="P35" t="s">
        <v>1235</v>
      </c>
    </row>
    <row r="36" spans="1:16">
      <c r="A36">
        <v>35</v>
      </c>
      <c r="B36" t="s">
        <v>1050</v>
      </c>
      <c r="C36" t="s">
        <v>1059</v>
      </c>
      <c r="D36" t="s">
        <v>1051</v>
      </c>
      <c r="E36" s="8">
        <v>42509</v>
      </c>
      <c r="F36" s="8">
        <v>42509</v>
      </c>
      <c r="G36">
        <v>42281961.950000003</v>
      </c>
      <c r="I36">
        <v>48713964</v>
      </c>
      <c r="J36">
        <v>48713964</v>
      </c>
      <c r="L36" t="s">
        <v>47</v>
      </c>
      <c r="M36">
        <v>0.13</v>
      </c>
      <c r="N36">
        <v>-1500000</v>
      </c>
      <c r="P36" t="s">
        <v>1236</v>
      </c>
    </row>
    <row r="37" spans="1:16">
      <c r="A37">
        <v>36</v>
      </c>
      <c r="B37" t="s">
        <v>1052</v>
      </c>
      <c r="C37" t="s">
        <v>1059</v>
      </c>
      <c r="D37" t="s">
        <v>1053</v>
      </c>
      <c r="E37" s="8">
        <v>42724</v>
      </c>
      <c r="F37" s="8">
        <v>42724</v>
      </c>
      <c r="G37">
        <v>454241460.22000003</v>
      </c>
      <c r="H37">
        <v>43800000</v>
      </c>
      <c r="I37">
        <v>522472846.34000003</v>
      </c>
      <c r="L37" t="s">
        <v>1054</v>
      </c>
      <c r="M37">
        <v>0</v>
      </c>
      <c r="N37">
        <v>-21000000</v>
      </c>
      <c r="P37" t="s">
        <v>1237</v>
      </c>
    </row>
    <row r="38" spans="1:16">
      <c r="A38">
        <v>37</v>
      </c>
      <c r="B38" t="s">
        <v>1052</v>
      </c>
      <c r="C38" t="s">
        <v>1059</v>
      </c>
      <c r="D38" t="s">
        <v>1055</v>
      </c>
      <c r="E38" s="8">
        <v>42753</v>
      </c>
      <c r="F38" s="8">
        <v>42753</v>
      </c>
      <c r="G38">
        <v>52937508</v>
      </c>
      <c r="H38">
        <v>0</v>
      </c>
      <c r="I38">
        <v>65939163</v>
      </c>
      <c r="L38" t="s">
        <v>47</v>
      </c>
      <c r="M38">
        <v>0</v>
      </c>
      <c r="N38" t="s">
        <v>1056</v>
      </c>
      <c r="P38" t="s">
        <v>1238</v>
      </c>
    </row>
    <row r="39" spans="1:16">
      <c r="A39">
        <v>38</v>
      </c>
      <c r="B39" t="s">
        <v>1052</v>
      </c>
      <c r="C39" t="s">
        <v>1059</v>
      </c>
      <c r="D39" t="s">
        <v>1057</v>
      </c>
      <c r="E39" s="8">
        <v>42908</v>
      </c>
      <c r="F39" s="8">
        <v>42908</v>
      </c>
      <c r="G39">
        <v>78794239</v>
      </c>
      <c r="H39">
        <v>3500000</v>
      </c>
      <c r="I39">
        <v>89225858</v>
      </c>
      <c r="J39">
        <v>677637867.34000003</v>
      </c>
      <c r="L39" t="s">
        <v>47</v>
      </c>
      <c r="M39">
        <v>0.13</v>
      </c>
      <c r="N39" t="s">
        <v>1058</v>
      </c>
      <c r="P39" t="s">
        <v>1239</v>
      </c>
    </row>
    <row r="40" spans="1:16" ht="25.5">
      <c r="A40">
        <v>39</v>
      </c>
      <c r="B40" t="s">
        <v>1041</v>
      </c>
      <c r="C40" t="s">
        <v>1059</v>
      </c>
      <c r="D40">
        <v>0</v>
      </c>
      <c r="E40" s="8">
        <v>0</v>
      </c>
      <c r="F40" s="8" t="s">
        <v>1060</v>
      </c>
      <c r="G40">
        <v>0</v>
      </c>
      <c r="I40">
        <v>-2.12</v>
      </c>
      <c r="J40">
        <v>-2.12</v>
      </c>
      <c r="L40" t="s">
        <v>1061</v>
      </c>
    </row>
    <row r="41" spans="1:16">
      <c r="A41">
        <v>40</v>
      </c>
      <c r="B41" t="s">
        <v>517</v>
      </c>
      <c r="C41" t="s">
        <v>298</v>
      </c>
      <c r="D41" t="s">
        <v>1062</v>
      </c>
      <c r="E41" s="8">
        <v>42733</v>
      </c>
      <c r="F41" s="8">
        <v>43100</v>
      </c>
      <c r="G41">
        <v>110200000</v>
      </c>
      <c r="I41">
        <v>88160118.170000002</v>
      </c>
      <c r="L41" t="s">
        <v>17</v>
      </c>
      <c r="M41">
        <v>0</v>
      </c>
    </row>
    <row r="42" spans="1:16">
      <c r="A42">
        <v>41</v>
      </c>
      <c r="B42" t="s">
        <v>517</v>
      </c>
      <c r="C42" t="s">
        <v>298</v>
      </c>
      <c r="D42" t="s">
        <v>1063</v>
      </c>
      <c r="E42" s="8">
        <v>42858</v>
      </c>
      <c r="F42" s="8">
        <v>42858</v>
      </c>
      <c r="G42">
        <v>41182323.859999999</v>
      </c>
      <c r="I42">
        <v>47014333</v>
      </c>
      <c r="J42">
        <v>135174451.17000002</v>
      </c>
      <c r="L42" t="s">
        <v>17</v>
      </c>
      <c r="M42">
        <v>0.13</v>
      </c>
    </row>
    <row r="43" spans="1:16">
      <c r="A43">
        <v>42</v>
      </c>
      <c r="B43" t="s">
        <v>527</v>
      </c>
      <c r="C43" t="s">
        <v>298</v>
      </c>
      <c r="D43" t="s">
        <v>1064</v>
      </c>
      <c r="E43" s="12">
        <v>43010</v>
      </c>
      <c r="F43" s="12">
        <v>44104</v>
      </c>
      <c r="G43">
        <v>13027275</v>
      </c>
      <c r="H43">
        <v>479776</v>
      </c>
      <c r="I43">
        <v>6315060.7899999991</v>
      </c>
      <c r="J43">
        <v>6315060.7899999991</v>
      </c>
      <c r="L43" t="s">
        <v>1065</v>
      </c>
      <c r="M43">
        <v>0.13</v>
      </c>
      <c r="N43">
        <v>-12983003</v>
      </c>
      <c r="P43" t="s">
        <v>1240</v>
      </c>
    </row>
    <row r="44" spans="1:16">
      <c r="A44">
        <v>43</v>
      </c>
      <c r="B44" t="s">
        <v>1066</v>
      </c>
      <c r="C44" t="s">
        <v>298</v>
      </c>
      <c r="D44" t="s">
        <v>1067</v>
      </c>
      <c r="E44" s="8">
        <v>42733</v>
      </c>
      <c r="F44" s="8">
        <v>43100</v>
      </c>
      <c r="G44">
        <v>30768695</v>
      </c>
      <c r="H44">
        <v>15838487</v>
      </c>
      <c r="I44">
        <v>17729957</v>
      </c>
      <c r="L44" t="s">
        <v>17</v>
      </c>
      <c r="M44">
        <v>0.13</v>
      </c>
    </row>
    <row r="45" spans="1:16">
      <c r="A45">
        <v>44</v>
      </c>
      <c r="B45" t="s">
        <v>1066</v>
      </c>
      <c r="C45" t="s">
        <v>298</v>
      </c>
      <c r="D45" t="s">
        <v>1068</v>
      </c>
      <c r="E45" s="8">
        <v>42733</v>
      </c>
      <c r="F45" s="8">
        <v>43100</v>
      </c>
      <c r="G45">
        <v>7081315</v>
      </c>
      <c r="H45">
        <v>1100000</v>
      </c>
      <c r="I45">
        <v>6676783</v>
      </c>
      <c r="L45" t="s">
        <v>17</v>
      </c>
      <c r="M45">
        <v>0.13</v>
      </c>
    </row>
    <row r="46" spans="1:16">
      <c r="A46">
        <v>45</v>
      </c>
      <c r="B46" t="s">
        <v>1066</v>
      </c>
      <c r="C46" t="s">
        <v>298</v>
      </c>
      <c r="D46" t="s">
        <v>1069</v>
      </c>
      <c r="E46" s="8">
        <v>42733</v>
      </c>
      <c r="F46" s="8">
        <v>43100</v>
      </c>
      <c r="G46">
        <v>13560561</v>
      </c>
      <c r="H46">
        <v>1366770</v>
      </c>
      <c r="I46">
        <v>13368029</v>
      </c>
      <c r="L46" t="s">
        <v>17</v>
      </c>
      <c r="M46">
        <v>0.13</v>
      </c>
    </row>
    <row r="47" spans="1:16">
      <c r="A47">
        <v>46</v>
      </c>
      <c r="B47" t="s">
        <v>1066</v>
      </c>
      <c r="C47" t="s">
        <v>298</v>
      </c>
      <c r="D47" t="s">
        <v>1070</v>
      </c>
      <c r="E47" s="8">
        <v>42733</v>
      </c>
      <c r="F47" s="8">
        <v>43100</v>
      </c>
      <c r="G47">
        <v>5575825</v>
      </c>
      <c r="H47">
        <v>832026</v>
      </c>
      <c r="I47">
        <v>5107424</v>
      </c>
      <c r="L47" t="s">
        <v>17</v>
      </c>
      <c r="M47">
        <v>0.13</v>
      </c>
    </row>
    <row r="48" spans="1:16">
      <c r="A48">
        <v>47</v>
      </c>
      <c r="B48" t="s">
        <v>1066</v>
      </c>
      <c r="C48" t="s">
        <v>298</v>
      </c>
      <c r="D48" t="s">
        <v>1071</v>
      </c>
      <c r="E48" s="8">
        <v>42733</v>
      </c>
      <c r="F48" s="8">
        <v>43100</v>
      </c>
      <c r="G48">
        <v>15570163</v>
      </c>
      <c r="H48">
        <v>0</v>
      </c>
      <c r="I48">
        <v>15810445</v>
      </c>
      <c r="L48" t="s">
        <v>17</v>
      </c>
      <c r="M48">
        <v>0.13</v>
      </c>
    </row>
    <row r="49" spans="1:16">
      <c r="A49">
        <v>48</v>
      </c>
      <c r="B49" t="s">
        <v>1066</v>
      </c>
      <c r="C49" t="s">
        <v>298</v>
      </c>
      <c r="D49" t="s">
        <v>1072</v>
      </c>
      <c r="E49" s="8">
        <v>42733</v>
      </c>
      <c r="F49" s="8">
        <v>43100</v>
      </c>
      <c r="G49">
        <v>6831917</v>
      </c>
      <c r="H49">
        <v>0</v>
      </c>
      <c r="I49">
        <v>7187210</v>
      </c>
      <c r="L49" t="s">
        <v>17</v>
      </c>
      <c r="M49">
        <v>0.13</v>
      </c>
    </row>
    <row r="50" spans="1:16">
      <c r="A50">
        <v>49</v>
      </c>
      <c r="B50" t="s">
        <v>1066</v>
      </c>
      <c r="C50" t="s">
        <v>298</v>
      </c>
      <c r="D50" t="s">
        <v>1073</v>
      </c>
      <c r="E50" s="8">
        <v>42733</v>
      </c>
      <c r="F50" s="8">
        <v>43100</v>
      </c>
      <c r="G50">
        <v>12981000</v>
      </c>
      <c r="H50">
        <v>5000000</v>
      </c>
      <c r="I50">
        <v>8098008</v>
      </c>
      <c r="J50">
        <v>73977856</v>
      </c>
      <c r="L50" t="s">
        <v>17</v>
      </c>
      <c r="M50">
        <v>0.12</v>
      </c>
    </row>
    <row r="51" spans="1:16">
      <c r="A51">
        <v>50</v>
      </c>
      <c r="B51" t="s">
        <v>531</v>
      </c>
      <c r="C51" t="s">
        <v>298</v>
      </c>
      <c r="D51" t="s">
        <v>1074</v>
      </c>
      <c r="E51" s="8">
        <v>42453</v>
      </c>
      <c r="F51" s="8">
        <v>43914</v>
      </c>
      <c r="G51">
        <v>5500000</v>
      </c>
      <c r="I51">
        <v>8093943.1299999999</v>
      </c>
      <c r="J51">
        <v>8093943.1299999999</v>
      </c>
      <c r="L51" t="s">
        <v>17</v>
      </c>
      <c r="M51">
        <v>0</v>
      </c>
    </row>
    <row r="52" spans="1:16">
      <c r="A52">
        <v>51</v>
      </c>
      <c r="B52" t="s">
        <v>71</v>
      </c>
      <c r="C52" t="s">
        <v>298</v>
      </c>
      <c r="D52" t="s">
        <v>1075</v>
      </c>
      <c r="E52" s="186">
        <v>43952</v>
      </c>
      <c r="F52" s="186">
        <v>45608</v>
      </c>
      <c r="G52">
        <v>244803940</v>
      </c>
      <c r="I52">
        <v>293301158</v>
      </c>
      <c r="L52" t="s">
        <v>1076</v>
      </c>
      <c r="M52">
        <v>0</v>
      </c>
      <c r="N52" t="s">
        <v>1077</v>
      </c>
    </row>
    <row r="53" spans="1:16">
      <c r="A53">
        <v>52</v>
      </c>
      <c r="B53" t="s">
        <v>71</v>
      </c>
      <c r="C53" t="s">
        <v>298</v>
      </c>
      <c r="D53" t="s">
        <v>1078</v>
      </c>
      <c r="E53" s="8">
        <v>43952</v>
      </c>
      <c r="F53" s="8">
        <v>45608</v>
      </c>
      <c r="G53">
        <v>68300000</v>
      </c>
      <c r="I53">
        <v>75623180</v>
      </c>
      <c r="J53">
        <v>368924338</v>
      </c>
      <c r="L53" t="s">
        <v>1079</v>
      </c>
      <c r="M53">
        <v>0</v>
      </c>
      <c r="N53" t="s">
        <v>1080</v>
      </c>
    </row>
    <row r="54" spans="1:16">
      <c r="A54">
        <v>53</v>
      </c>
      <c r="B54" t="s">
        <v>1081</v>
      </c>
      <c r="C54" t="s">
        <v>12</v>
      </c>
      <c r="D54" t="s">
        <v>1082</v>
      </c>
      <c r="E54" s="186">
        <v>41032</v>
      </c>
      <c r="F54" s="186">
        <v>42094</v>
      </c>
      <c r="G54">
        <v>13114300</v>
      </c>
      <c r="H54">
        <v>3409978</v>
      </c>
      <c r="I54">
        <v>5717255</v>
      </c>
      <c r="L54" t="s">
        <v>536</v>
      </c>
      <c r="M54">
        <v>0</v>
      </c>
    </row>
    <row r="55" spans="1:16">
      <c r="A55">
        <v>54</v>
      </c>
      <c r="B55" t="s">
        <v>1081</v>
      </c>
      <c r="C55" t="s">
        <v>12</v>
      </c>
      <c r="D55" t="s">
        <v>1083</v>
      </c>
      <c r="E55" s="186">
        <v>41038</v>
      </c>
      <c r="F55" s="186">
        <v>42094</v>
      </c>
      <c r="G55">
        <v>3864430</v>
      </c>
      <c r="H55">
        <v>600000</v>
      </c>
      <c r="I55">
        <v>5860663</v>
      </c>
      <c r="L55" t="s">
        <v>536</v>
      </c>
      <c r="M55">
        <v>0</v>
      </c>
    </row>
    <row r="56" spans="1:16">
      <c r="A56">
        <v>55</v>
      </c>
      <c r="B56" t="s">
        <v>1081</v>
      </c>
      <c r="C56" t="s">
        <v>12</v>
      </c>
      <c r="D56" t="s">
        <v>1084</v>
      </c>
      <c r="E56" s="186">
        <v>41038</v>
      </c>
      <c r="F56" s="186">
        <v>42094</v>
      </c>
      <c r="G56">
        <v>23160224.800000001</v>
      </c>
      <c r="H56">
        <v>6145000</v>
      </c>
      <c r="I56">
        <v>29508006.800000001</v>
      </c>
      <c r="J56">
        <v>41085924.799999997</v>
      </c>
      <c r="L56" t="s">
        <v>536</v>
      </c>
      <c r="M56">
        <v>0</v>
      </c>
    </row>
    <row r="57" spans="1:16">
      <c r="A57">
        <v>56</v>
      </c>
      <c r="B57" t="s">
        <v>1085</v>
      </c>
      <c r="C57" t="s">
        <v>1086</v>
      </c>
      <c r="D57" t="s">
        <v>1087</v>
      </c>
      <c r="E57" s="186">
        <v>42281</v>
      </c>
      <c r="F57" s="186">
        <v>42825</v>
      </c>
      <c r="G57">
        <v>57098628.899999999</v>
      </c>
      <c r="I57">
        <v>74380240.620000005</v>
      </c>
      <c r="J57">
        <v>74380240.620000005</v>
      </c>
      <c r="L57" t="s">
        <v>17</v>
      </c>
      <c r="M57">
        <v>0</v>
      </c>
      <c r="N57" t="s">
        <v>1088</v>
      </c>
    </row>
    <row r="58" spans="1:16">
      <c r="A58">
        <v>57</v>
      </c>
      <c r="B58" t="s">
        <v>1089</v>
      </c>
      <c r="C58" t="s">
        <v>12</v>
      </c>
      <c r="D58" t="s">
        <v>1090</v>
      </c>
      <c r="E58" s="190">
        <v>43811</v>
      </c>
      <c r="F58" s="190">
        <v>43811</v>
      </c>
      <c r="G58">
        <v>24650116</v>
      </c>
      <c r="I58">
        <v>0</v>
      </c>
      <c r="J58">
        <v>0</v>
      </c>
      <c r="N58" t="s">
        <v>1091</v>
      </c>
    </row>
    <row r="59" spans="1:16">
      <c r="A59">
        <v>58</v>
      </c>
      <c r="B59" t="s">
        <v>1092</v>
      </c>
      <c r="C59" t="s">
        <v>12</v>
      </c>
      <c r="D59" t="s">
        <v>1090</v>
      </c>
      <c r="E59" s="190">
        <v>43811</v>
      </c>
      <c r="F59" s="190">
        <v>43811</v>
      </c>
      <c r="G59">
        <v>1670445268.8099999</v>
      </c>
      <c r="H59">
        <v>274617097</v>
      </c>
      <c r="I59">
        <v>2067505538</v>
      </c>
      <c r="J59">
        <v>2067505538</v>
      </c>
      <c r="K59" t="s">
        <v>1093</v>
      </c>
      <c r="L59" t="s">
        <v>1094</v>
      </c>
      <c r="N59" t="s">
        <v>1091</v>
      </c>
    </row>
    <row r="60" spans="1:16">
      <c r="A60">
        <v>59</v>
      </c>
      <c r="B60" t="s">
        <v>1095</v>
      </c>
      <c r="C60" t="s">
        <v>12</v>
      </c>
      <c r="D60" t="s">
        <v>1096</v>
      </c>
      <c r="E60" s="8">
        <v>43825</v>
      </c>
      <c r="F60" s="8">
        <v>43825</v>
      </c>
      <c r="I60">
        <v>0</v>
      </c>
      <c r="J60">
        <v>0</v>
      </c>
      <c r="N60" t="s">
        <v>1097</v>
      </c>
    </row>
    <row r="61" spans="1:16">
      <c r="A61">
        <v>60</v>
      </c>
      <c r="B61" t="s">
        <v>1098</v>
      </c>
      <c r="C61" t="s">
        <v>12</v>
      </c>
      <c r="D61" t="s">
        <v>1096</v>
      </c>
      <c r="E61" s="8">
        <v>43825</v>
      </c>
      <c r="F61" s="8">
        <v>43825</v>
      </c>
      <c r="G61">
        <v>465995776.20999998</v>
      </c>
      <c r="H61">
        <v>97999835</v>
      </c>
      <c r="I61">
        <v>442087095.39999998</v>
      </c>
      <c r="J61">
        <v>442087095.39999998</v>
      </c>
      <c r="L61">
        <v>442087095.39999998</v>
      </c>
      <c r="M61" t="s">
        <v>1099</v>
      </c>
      <c r="N61" t="s">
        <v>1097</v>
      </c>
    </row>
    <row r="62" spans="1:16">
      <c r="A62">
        <v>61</v>
      </c>
      <c r="B62" t="s">
        <v>1100</v>
      </c>
      <c r="C62" t="s">
        <v>12</v>
      </c>
      <c r="D62" t="s">
        <v>1102</v>
      </c>
      <c r="E62" s="12">
        <v>43828</v>
      </c>
      <c r="F62" s="12">
        <v>43828</v>
      </c>
      <c r="G62">
        <v>430473504.14999998</v>
      </c>
      <c r="I62">
        <v>0</v>
      </c>
      <c r="J62">
        <v>0</v>
      </c>
      <c r="N62" t="s">
        <v>1103</v>
      </c>
      <c r="P62" t="s">
        <v>1101</v>
      </c>
    </row>
    <row r="63" spans="1:16">
      <c r="A63">
        <v>62</v>
      </c>
      <c r="B63" t="s">
        <v>1104</v>
      </c>
      <c r="C63" t="s">
        <v>12</v>
      </c>
      <c r="D63" t="s">
        <v>1102</v>
      </c>
      <c r="E63" s="12">
        <v>43828</v>
      </c>
      <c r="F63" s="12">
        <v>43828</v>
      </c>
      <c r="G63">
        <v>430473504.14999998</v>
      </c>
      <c r="H63">
        <v>81925469</v>
      </c>
      <c r="I63">
        <v>436277746</v>
      </c>
      <c r="J63">
        <v>436277746</v>
      </c>
      <c r="M63" t="s">
        <v>1105</v>
      </c>
      <c r="N63" t="s">
        <v>1103</v>
      </c>
      <c r="P63" t="s">
        <v>1241</v>
      </c>
    </row>
    <row r="64" spans="1:16">
      <c r="A64">
        <v>63</v>
      </c>
      <c r="B64" t="s">
        <v>506</v>
      </c>
      <c r="C64" t="s">
        <v>298</v>
      </c>
      <c r="D64" t="s">
        <v>1106</v>
      </c>
      <c r="E64" s="186">
        <v>43844</v>
      </c>
      <c r="F64" s="186">
        <v>43844</v>
      </c>
      <c r="G64">
        <v>19209570.210000001</v>
      </c>
      <c r="H64">
        <v>8289281</v>
      </c>
      <c r="I64">
        <v>18580673.000000004</v>
      </c>
      <c r="J64">
        <v>18580673.000000004</v>
      </c>
      <c r="N64" t="s">
        <v>1107</v>
      </c>
      <c r="P64" t="s">
        <v>1242</v>
      </c>
    </row>
    <row r="65" spans="1:16" ht="25.5">
      <c r="A65">
        <v>64</v>
      </c>
      <c r="B65" t="s">
        <v>112</v>
      </c>
      <c r="C65" t="s">
        <v>1243</v>
      </c>
      <c r="D65" t="s">
        <v>1108</v>
      </c>
      <c r="E65" s="186">
        <v>43942</v>
      </c>
      <c r="F65" s="186" t="s">
        <v>1109</v>
      </c>
      <c r="G65">
        <v>45599586.380000003</v>
      </c>
      <c r="H65">
        <v>13356543</v>
      </c>
      <c r="I65">
        <v>34124879</v>
      </c>
      <c r="J65">
        <v>34124879</v>
      </c>
      <c r="N65" t="s">
        <v>1110</v>
      </c>
      <c r="P65" t="s">
        <v>1244</v>
      </c>
    </row>
    <row r="66" spans="1:16">
      <c r="A66">
        <v>65</v>
      </c>
      <c r="B66" t="s">
        <v>1111</v>
      </c>
      <c r="C66" t="s">
        <v>39</v>
      </c>
      <c r="D66" t="s">
        <v>1112</v>
      </c>
      <c r="E66" s="186">
        <v>44066</v>
      </c>
      <c r="F66" s="186">
        <v>44046</v>
      </c>
      <c r="G66">
        <v>31248525.399999999</v>
      </c>
      <c r="H66">
        <v>42641639</v>
      </c>
      <c r="I66">
        <v>42670023.609999992</v>
      </c>
      <c r="J66">
        <v>42670023.609999992</v>
      </c>
      <c r="N66" t="s">
        <v>1113</v>
      </c>
    </row>
    <row r="67" spans="1:16" ht="25.5">
      <c r="A67">
        <v>66</v>
      </c>
      <c r="B67" t="s">
        <v>106</v>
      </c>
      <c r="C67" t="s">
        <v>70</v>
      </c>
      <c r="D67" t="s">
        <v>1114</v>
      </c>
      <c r="E67" s="12" t="s">
        <v>1115</v>
      </c>
      <c r="F67" s="12" t="s">
        <v>1116</v>
      </c>
      <c r="G67">
        <v>335487583.78000003</v>
      </c>
      <c r="H67">
        <v>46300000</v>
      </c>
      <c r="I67">
        <v>333114068.00000006</v>
      </c>
      <c r="J67">
        <v>278008765</v>
      </c>
    </row>
    <row r="68" spans="1:16" ht="25.5">
      <c r="A68">
        <v>67</v>
      </c>
      <c r="B68" t="s">
        <v>109</v>
      </c>
      <c r="C68" t="s">
        <v>110</v>
      </c>
      <c r="D68" t="s">
        <v>1117</v>
      </c>
      <c r="E68" s="8" t="s">
        <v>1118</v>
      </c>
      <c r="F68" s="8" t="str">
        <f>E68</f>
        <v>,20-10-2020</v>
      </c>
      <c r="G68">
        <v>350302052.83000004</v>
      </c>
      <c r="H68">
        <v>1550000</v>
      </c>
      <c r="I68">
        <v>365392040.00000006</v>
      </c>
      <c r="J68">
        <v>326031038</v>
      </c>
    </row>
    <row r="69" spans="1:16">
      <c r="A69">
        <v>68</v>
      </c>
      <c r="B69" t="s">
        <v>112</v>
      </c>
      <c r="C69" t="s">
        <v>110</v>
      </c>
      <c r="D69" t="s">
        <v>1119</v>
      </c>
      <c r="E69" s="186">
        <v>44131</v>
      </c>
      <c r="F69" s="186">
        <v>44131</v>
      </c>
      <c r="G69">
        <v>82148600.069999993</v>
      </c>
      <c r="I69">
        <v>0</v>
      </c>
      <c r="J69">
        <v>0</v>
      </c>
    </row>
    <row r="70" spans="1:16">
      <c r="A70">
        <v>69</v>
      </c>
      <c r="B70" t="s">
        <v>1120</v>
      </c>
      <c r="C70" t="s">
        <v>1121</v>
      </c>
      <c r="D70" t="s">
        <v>1122</v>
      </c>
      <c r="E70" s="8">
        <v>44197</v>
      </c>
      <c r="F70" s="8">
        <v>44561</v>
      </c>
      <c r="G70">
        <v>158760965</v>
      </c>
      <c r="H70">
        <v>58517526</v>
      </c>
      <c r="I70">
        <v>138300617</v>
      </c>
      <c r="J70">
        <v>138300617</v>
      </c>
      <c r="K70">
        <v>76082828</v>
      </c>
    </row>
    <row r="71" spans="1:16">
      <c r="A71">
        <v>70</v>
      </c>
      <c r="B71" t="s">
        <v>1123</v>
      </c>
      <c r="C71" t="s">
        <v>110</v>
      </c>
      <c r="D71" t="s">
        <v>1124</v>
      </c>
      <c r="E71" s="186">
        <v>44796</v>
      </c>
      <c r="F71" s="186">
        <v>45892</v>
      </c>
      <c r="G71">
        <v>39500000</v>
      </c>
      <c r="I71">
        <v>41451873</v>
      </c>
      <c r="J71">
        <v>41451873</v>
      </c>
    </row>
    <row r="72" spans="1:16">
      <c r="A72">
        <v>71</v>
      </c>
      <c r="B72" t="s">
        <v>1123</v>
      </c>
      <c r="C72" t="s">
        <v>110</v>
      </c>
      <c r="D72" t="s">
        <v>1125</v>
      </c>
      <c r="E72" s="186">
        <v>44796</v>
      </c>
      <c r="F72" s="186">
        <v>45892</v>
      </c>
      <c r="G72">
        <v>5007621</v>
      </c>
      <c r="I72">
        <v>5381509</v>
      </c>
      <c r="J72">
        <v>5381509</v>
      </c>
    </row>
    <row r="73" spans="1:16" ht="25.5">
      <c r="A73">
        <v>72</v>
      </c>
      <c r="B73" t="s">
        <v>1126</v>
      </c>
      <c r="C73" t="s">
        <v>635</v>
      </c>
      <c r="D73" t="s">
        <v>646</v>
      </c>
      <c r="E73" s="8" t="s">
        <v>1127</v>
      </c>
      <c r="F73" s="8" t="str">
        <f>E73</f>
        <v>,15-02-2022</v>
      </c>
      <c r="G73">
        <v>33190934.010000002</v>
      </c>
      <c r="H73">
        <v>0</v>
      </c>
      <c r="I73">
        <v>21959066.010000005</v>
      </c>
      <c r="J73">
        <v>21959066.010000005</v>
      </c>
    </row>
    <row r="74" spans="1:16" ht="25.5">
      <c r="A74">
        <v>73</v>
      </c>
      <c r="B74" t="s">
        <v>1128</v>
      </c>
      <c r="C74" t="s">
        <v>635</v>
      </c>
      <c r="D74" t="s">
        <v>1129</v>
      </c>
      <c r="E74" s="186" t="s">
        <v>1130</v>
      </c>
      <c r="F74" s="186" t="s">
        <v>1131</v>
      </c>
      <c r="G74">
        <v>340559307.79000002</v>
      </c>
      <c r="H74">
        <v>1700000</v>
      </c>
      <c r="I74">
        <v>324631307.79000002</v>
      </c>
      <c r="J74">
        <v>324631307.79000002</v>
      </c>
      <c r="K74">
        <v>56777200</v>
      </c>
    </row>
    <row r="75" spans="1:16" ht="25.5">
      <c r="A75">
        <v>74</v>
      </c>
      <c r="B75" t="s">
        <v>130</v>
      </c>
      <c r="C75" t="s">
        <v>2</v>
      </c>
      <c r="D75" t="s">
        <v>1132</v>
      </c>
      <c r="E75" s="186">
        <v>44312</v>
      </c>
      <c r="F75" s="186" t="s">
        <v>1133</v>
      </c>
      <c r="G75">
        <v>85239536.450000003</v>
      </c>
      <c r="H75">
        <v>5000000</v>
      </c>
      <c r="I75">
        <v>90649656</v>
      </c>
      <c r="J75">
        <v>90649656</v>
      </c>
    </row>
    <row r="76" spans="1:16">
      <c r="A76">
        <v>75</v>
      </c>
      <c r="B76" t="s">
        <v>1120</v>
      </c>
      <c r="C76" t="s">
        <v>594</v>
      </c>
      <c r="D76" t="s">
        <v>1134</v>
      </c>
      <c r="E76" s="8">
        <v>44707</v>
      </c>
      <c r="F76" s="8">
        <f>E76</f>
        <v>44707</v>
      </c>
      <c r="G76">
        <v>241541654</v>
      </c>
      <c r="I76">
        <v>228903389</v>
      </c>
      <c r="J76">
        <v>228903389</v>
      </c>
      <c r="K76">
        <v>75746278</v>
      </c>
    </row>
    <row r="77" spans="1:16">
      <c r="A77">
        <v>76</v>
      </c>
      <c r="B77" t="s">
        <v>1126</v>
      </c>
      <c r="C77" t="s">
        <v>594</v>
      </c>
      <c r="D77" t="s">
        <v>1135</v>
      </c>
      <c r="E77" s="191">
        <v>44707</v>
      </c>
      <c r="F77" s="191">
        <f>E77</f>
        <v>44707</v>
      </c>
      <c r="G77">
        <v>147971100</v>
      </c>
      <c r="I77">
        <v>154409437</v>
      </c>
      <c r="J77">
        <v>154409437</v>
      </c>
      <c r="K77">
        <v>3736963</v>
      </c>
      <c r="L77">
        <v>3737043</v>
      </c>
    </row>
    <row r="78" spans="1:16">
      <c r="A78">
        <v>77</v>
      </c>
      <c r="B78" t="s">
        <v>527</v>
      </c>
      <c r="C78" t="s">
        <v>298</v>
      </c>
      <c r="D78" t="s">
        <v>1136</v>
      </c>
      <c r="E78" s="186">
        <v>44698</v>
      </c>
      <c r="F78" s="186">
        <v>46800</v>
      </c>
      <c r="G78">
        <v>31729910</v>
      </c>
      <c r="I78">
        <v>27409110</v>
      </c>
      <c r="J78">
        <v>27409110</v>
      </c>
      <c r="L78" t="s">
        <v>1065</v>
      </c>
      <c r="M78">
        <v>0.13</v>
      </c>
      <c r="N78">
        <v>-12983003</v>
      </c>
    </row>
    <row r="79" spans="1:16">
      <c r="A79">
        <v>78</v>
      </c>
      <c r="B79" t="s">
        <v>527</v>
      </c>
      <c r="C79" t="s">
        <v>298</v>
      </c>
      <c r="D79" t="s">
        <v>1137</v>
      </c>
      <c r="E79" s="186">
        <v>44698</v>
      </c>
      <c r="F79" s="186">
        <v>46800</v>
      </c>
      <c r="G79">
        <v>24624925.190000001</v>
      </c>
      <c r="I79">
        <v>26344125.190000001</v>
      </c>
      <c r="J79">
        <v>26344125.190000001</v>
      </c>
      <c r="L79" t="s">
        <v>1065</v>
      </c>
      <c r="M79">
        <v>0.13</v>
      </c>
      <c r="N79">
        <v>-12983003</v>
      </c>
      <c r="P79" t="s">
        <v>1240</v>
      </c>
    </row>
    <row r="80" spans="1:16">
      <c r="A80">
        <v>79</v>
      </c>
      <c r="B80" t="s">
        <v>527</v>
      </c>
      <c r="C80" t="s">
        <v>298</v>
      </c>
      <c r="D80" t="s">
        <v>1138</v>
      </c>
      <c r="E80" s="186">
        <v>44698</v>
      </c>
      <c r="F80" s="186">
        <v>46800</v>
      </c>
      <c r="G80">
        <v>12911953</v>
      </c>
      <c r="I80">
        <v>13853453</v>
      </c>
      <c r="J80">
        <v>13853453</v>
      </c>
      <c r="L80" t="s">
        <v>1065</v>
      </c>
      <c r="M80">
        <v>0.13</v>
      </c>
      <c r="N80">
        <v>-12983003</v>
      </c>
      <c r="P80" t="s">
        <v>1240</v>
      </c>
    </row>
    <row r="81" spans="1:16">
      <c r="A81">
        <v>80</v>
      </c>
      <c r="B81" t="s">
        <v>527</v>
      </c>
      <c r="C81" t="s">
        <v>166</v>
      </c>
      <c r="D81" t="s">
        <v>1139</v>
      </c>
      <c r="E81" s="186">
        <v>44698</v>
      </c>
      <c r="F81" s="186">
        <v>46800</v>
      </c>
      <c r="G81">
        <v>22035453</v>
      </c>
      <c r="I81">
        <v>22354653</v>
      </c>
      <c r="J81">
        <v>22354653</v>
      </c>
      <c r="L81" t="s">
        <v>1065</v>
      </c>
      <c r="M81">
        <v>0.13</v>
      </c>
      <c r="N81">
        <v>-12983003</v>
      </c>
      <c r="P81" t="s">
        <v>1240</v>
      </c>
    </row>
    <row r="82" spans="1:16" ht="25.5">
      <c r="A82">
        <v>81</v>
      </c>
      <c r="B82" t="s">
        <v>1140</v>
      </c>
      <c r="C82" t="s">
        <v>166</v>
      </c>
      <c r="D82" t="s">
        <v>1141</v>
      </c>
      <c r="E82" s="12" t="s">
        <v>1142</v>
      </c>
      <c r="F82" s="12" t="s">
        <v>1143</v>
      </c>
      <c r="G82">
        <v>153338299</v>
      </c>
      <c r="I82">
        <v>160473209</v>
      </c>
      <c r="J82">
        <v>160473209</v>
      </c>
      <c r="K82" t="s">
        <v>1144</v>
      </c>
      <c r="L82" t="s">
        <v>1065</v>
      </c>
      <c r="M82">
        <v>0.13</v>
      </c>
      <c r="N82">
        <v>-12983003</v>
      </c>
      <c r="P82" t="s">
        <v>1240</v>
      </c>
    </row>
    <row r="83" spans="1:16" ht="25.5">
      <c r="A83">
        <v>82</v>
      </c>
      <c r="B83" t="s">
        <v>1145</v>
      </c>
      <c r="C83" t="s">
        <v>166</v>
      </c>
      <c r="D83" t="s">
        <v>1146</v>
      </c>
      <c r="E83" s="12" t="s">
        <v>1147</v>
      </c>
      <c r="F83" s="12" t="s">
        <v>1148</v>
      </c>
      <c r="G83">
        <v>586872762.89999998</v>
      </c>
      <c r="I83">
        <v>614179392.89999998</v>
      </c>
      <c r="J83">
        <v>614179392.89999998</v>
      </c>
      <c r="L83" t="s">
        <v>1065</v>
      </c>
      <c r="M83">
        <v>0.13</v>
      </c>
      <c r="N83">
        <v>-12983003</v>
      </c>
      <c r="P83" t="s">
        <v>1240</v>
      </c>
    </row>
    <row r="84" spans="1:16" ht="25.5">
      <c r="A84">
        <v>83</v>
      </c>
      <c r="B84" t="s">
        <v>1149</v>
      </c>
      <c r="C84" t="s">
        <v>605</v>
      </c>
      <c r="D84" t="s">
        <v>1150</v>
      </c>
      <c r="E84" s="186" t="s">
        <v>1147</v>
      </c>
      <c r="F84" s="186" t="s">
        <v>1148</v>
      </c>
      <c r="G84">
        <v>177648638.69</v>
      </c>
      <c r="I84">
        <v>189062540.69</v>
      </c>
      <c r="J84">
        <v>189062540.69</v>
      </c>
      <c r="L84" t="s">
        <v>1065</v>
      </c>
      <c r="M84">
        <v>0.13</v>
      </c>
      <c r="N84">
        <v>-12983003</v>
      </c>
      <c r="P84" t="s">
        <v>1245</v>
      </c>
    </row>
    <row r="85" spans="1:16">
      <c r="A85">
        <v>84</v>
      </c>
      <c r="B85" t="s">
        <v>126</v>
      </c>
      <c r="C85" t="s">
        <v>166</v>
      </c>
      <c r="D85" t="s">
        <v>1151</v>
      </c>
      <c r="E85" s="12">
        <v>44817</v>
      </c>
      <c r="F85" s="12">
        <v>45182</v>
      </c>
      <c r="G85">
        <v>1822031551.04</v>
      </c>
      <c r="I85">
        <v>1906808741.04</v>
      </c>
      <c r="J85">
        <v>1906808741.04</v>
      </c>
      <c r="K85" t="s">
        <v>1152</v>
      </c>
      <c r="L85" t="s">
        <v>1065</v>
      </c>
      <c r="M85">
        <v>0.13</v>
      </c>
      <c r="N85">
        <v>-12983003</v>
      </c>
      <c r="P85" t="s">
        <v>1246</v>
      </c>
    </row>
    <row r="86" spans="1:16" ht="25.5">
      <c r="A86">
        <v>85</v>
      </c>
      <c r="B86" t="s">
        <v>1153</v>
      </c>
      <c r="C86" t="s">
        <v>298</v>
      </c>
      <c r="D86" t="s">
        <v>670</v>
      </c>
      <c r="E86" s="12">
        <v>44880</v>
      </c>
      <c r="F86" s="12" t="s">
        <v>1154</v>
      </c>
      <c r="G86">
        <v>169897940.69999999</v>
      </c>
      <c r="I86">
        <v>170552840.69999999</v>
      </c>
      <c r="J86">
        <v>170552840.69999999</v>
      </c>
      <c r="K86" t="s">
        <v>1152</v>
      </c>
      <c r="L86" t="s">
        <v>1065</v>
      </c>
      <c r="M86">
        <v>0.13</v>
      </c>
      <c r="N86">
        <v>-12983003</v>
      </c>
      <c r="P86" t="s">
        <v>1247</v>
      </c>
    </row>
    <row r="87" spans="1:16">
      <c r="A87">
        <v>86</v>
      </c>
      <c r="B87" t="s">
        <v>1155</v>
      </c>
      <c r="C87" t="s">
        <v>584</v>
      </c>
      <c r="D87" t="s">
        <v>1156</v>
      </c>
      <c r="E87" s="12"/>
      <c r="F87" s="12"/>
      <c r="G87">
        <v>133214867.69</v>
      </c>
      <c r="I87">
        <v>135121588.69</v>
      </c>
      <c r="J87">
        <v>135121588.69</v>
      </c>
    </row>
    <row r="88" spans="1:16" ht="25.5">
      <c r="A88">
        <v>87</v>
      </c>
      <c r="B88" t="s">
        <v>1126</v>
      </c>
      <c r="C88" t="s">
        <v>584</v>
      </c>
      <c r="D88" t="s">
        <v>1157</v>
      </c>
      <c r="E88" s="8" t="s">
        <v>1158</v>
      </c>
      <c r="F88" s="8" t="s">
        <v>1159</v>
      </c>
      <c r="G88">
        <v>185300000</v>
      </c>
      <c r="I88">
        <v>201466970.50999999</v>
      </c>
      <c r="J88">
        <v>201466970.50999999</v>
      </c>
    </row>
    <row r="89" spans="1:16">
      <c r="A89">
        <v>88</v>
      </c>
      <c r="B89" t="s">
        <v>1160</v>
      </c>
      <c r="C89" t="s">
        <v>584</v>
      </c>
      <c r="D89" t="s">
        <v>1161</v>
      </c>
      <c r="E89" s="8"/>
      <c r="F89" s="8"/>
      <c r="G89">
        <v>46466204.120000005</v>
      </c>
      <c r="I89">
        <v>40641104.120000005</v>
      </c>
      <c r="J89">
        <v>40641104.120000005</v>
      </c>
    </row>
    <row r="90" spans="1:16">
      <c r="A90">
        <v>89</v>
      </c>
      <c r="B90" t="s">
        <v>1162</v>
      </c>
      <c r="C90" t="s">
        <v>584</v>
      </c>
      <c r="D90" t="s">
        <v>1163</v>
      </c>
      <c r="E90" s="8">
        <v>45005</v>
      </c>
      <c r="F90" s="8">
        <v>45371</v>
      </c>
      <c r="G90">
        <v>81757476.329999998</v>
      </c>
      <c r="I90">
        <v>66876502.329999998</v>
      </c>
      <c r="J90">
        <v>66876502.329999998</v>
      </c>
    </row>
    <row r="91" spans="1:16">
      <c r="A91">
        <v>90</v>
      </c>
      <c r="B91" t="s">
        <v>1164</v>
      </c>
      <c r="C91" t="s">
        <v>1165</v>
      </c>
      <c r="D91" t="s">
        <v>1166</v>
      </c>
      <c r="E91" s="12"/>
      <c r="F91" s="12"/>
      <c r="G91">
        <v>82519731</v>
      </c>
      <c r="I91">
        <v>84246631</v>
      </c>
      <c r="J91">
        <v>84246631</v>
      </c>
    </row>
    <row r="92" spans="1:16">
      <c r="A92">
        <v>91</v>
      </c>
      <c r="B92" t="s">
        <v>1167</v>
      </c>
      <c r="C92" t="s">
        <v>1168</v>
      </c>
      <c r="D92" t="s">
        <v>1169</v>
      </c>
      <c r="E92" s="8"/>
      <c r="F92" s="8"/>
      <c r="G92">
        <v>63114820</v>
      </c>
      <c r="I92">
        <v>61684470</v>
      </c>
      <c r="J92">
        <v>61684470</v>
      </c>
    </row>
    <row r="93" spans="1:16" ht="25.5">
      <c r="A93">
        <v>92</v>
      </c>
      <c r="B93" t="s">
        <v>1170</v>
      </c>
      <c r="C93" t="s">
        <v>2</v>
      </c>
      <c r="D93" t="s">
        <v>1171</v>
      </c>
      <c r="E93" s="8" t="s">
        <v>1172</v>
      </c>
      <c r="F93" s="8" t="str">
        <f>E93</f>
        <v>,20-07-2023</v>
      </c>
      <c r="G93">
        <v>425199531.89999998</v>
      </c>
      <c r="I93">
        <v>421808709.89999998</v>
      </c>
      <c r="J93">
        <v>421808709.89999998</v>
      </c>
      <c r="K93">
        <v>42.180870989999995</v>
      </c>
      <c r="L93" t="s">
        <v>497</v>
      </c>
      <c r="N93" t="s">
        <v>1173</v>
      </c>
    </row>
    <row r="94" spans="1:16" ht="25.5">
      <c r="A94">
        <v>93</v>
      </c>
      <c r="B94" t="s">
        <v>1174</v>
      </c>
      <c r="C94" t="s">
        <v>2</v>
      </c>
      <c r="D94" t="s">
        <v>1175</v>
      </c>
      <c r="E94" s="12" t="s">
        <v>1172</v>
      </c>
      <c r="F94" s="12" t="str">
        <f>E94</f>
        <v>,20-07-2023</v>
      </c>
      <c r="G94">
        <v>529811861.93000001</v>
      </c>
      <c r="I94">
        <v>519597547.93000001</v>
      </c>
      <c r="J94">
        <v>519597547.93000001</v>
      </c>
      <c r="K94">
        <v>51.959754793000002</v>
      </c>
      <c r="L94" t="s">
        <v>497</v>
      </c>
      <c r="N94" t="s">
        <v>1173</v>
      </c>
    </row>
    <row r="95" spans="1:16" ht="25.5">
      <c r="A95">
        <v>94</v>
      </c>
      <c r="B95" t="s">
        <v>1176</v>
      </c>
      <c r="C95" t="s">
        <v>2</v>
      </c>
      <c r="D95" t="s">
        <v>1177</v>
      </c>
      <c r="E95" s="190" t="s">
        <v>1178</v>
      </c>
      <c r="F95" s="190" t="s">
        <v>1178</v>
      </c>
      <c r="G95">
        <v>708932015.32000005</v>
      </c>
      <c r="I95">
        <v>803839961.32000005</v>
      </c>
      <c r="J95">
        <v>803839961.32000005</v>
      </c>
      <c r="K95">
        <v>18203386</v>
      </c>
    </row>
    <row r="96" spans="1:16" ht="25.5">
      <c r="A96">
        <v>95</v>
      </c>
      <c r="B96" t="s">
        <v>153</v>
      </c>
      <c r="C96" t="s">
        <v>2</v>
      </c>
      <c r="D96" t="s">
        <v>1179</v>
      </c>
      <c r="E96" s="190" t="s">
        <v>1178</v>
      </c>
      <c r="F96" s="190" t="s">
        <v>1178</v>
      </c>
      <c r="G96">
        <v>235156000</v>
      </c>
      <c r="I96">
        <v>241371023</v>
      </c>
      <c r="J96">
        <v>241371023</v>
      </c>
      <c r="K96">
        <v>15341796</v>
      </c>
      <c r="L96" t="s">
        <v>497</v>
      </c>
    </row>
    <row r="97" spans="1:14" ht="25.5">
      <c r="A97">
        <v>96</v>
      </c>
      <c r="B97" t="s">
        <v>1180</v>
      </c>
      <c r="C97" t="s">
        <v>2</v>
      </c>
      <c r="D97" t="s">
        <v>1181</v>
      </c>
      <c r="E97" s="190" t="s">
        <v>1178</v>
      </c>
      <c r="F97" s="190" t="s">
        <v>1178</v>
      </c>
      <c r="G97">
        <v>1160800000</v>
      </c>
      <c r="I97">
        <v>1328310541</v>
      </c>
      <c r="J97">
        <v>1328310541</v>
      </c>
      <c r="K97">
        <v>17500000</v>
      </c>
      <c r="L97" t="s">
        <v>497</v>
      </c>
    </row>
    <row r="98" spans="1:14" ht="25.5">
      <c r="A98">
        <v>97</v>
      </c>
      <c r="B98" t="s">
        <v>1182</v>
      </c>
      <c r="C98" t="s">
        <v>2</v>
      </c>
      <c r="D98" t="s">
        <v>1183</v>
      </c>
      <c r="E98" s="190" t="s">
        <v>1178</v>
      </c>
      <c r="F98" s="190" t="s">
        <v>1178</v>
      </c>
      <c r="G98">
        <v>163054555.38</v>
      </c>
      <c r="I98">
        <v>176606142.81999999</v>
      </c>
      <c r="J98">
        <v>176606142.81999999</v>
      </c>
      <c r="K98">
        <v>15.907605538</v>
      </c>
      <c r="L98" t="s">
        <v>497</v>
      </c>
    </row>
    <row r="99" spans="1:14" ht="25.5">
      <c r="A99">
        <v>98</v>
      </c>
      <c r="B99" t="s">
        <v>1184</v>
      </c>
      <c r="C99" t="s">
        <v>2</v>
      </c>
      <c r="D99" t="s">
        <v>1185</v>
      </c>
      <c r="E99" s="190" t="s">
        <v>1186</v>
      </c>
      <c r="F99" s="190" t="s">
        <v>1186</v>
      </c>
      <c r="G99">
        <v>99348518.390000001</v>
      </c>
      <c r="I99">
        <v>101706634.39</v>
      </c>
      <c r="J99">
        <v>101706634.39</v>
      </c>
      <c r="K99">
        <v>9.2591527389999992</v>
      </c>
      <c r="L99" t="s">
        <v>497</v>
      </c>
    </row>
    <row r="100" spans="1:14" ht="25.5">
      <c r="A100">
        <v>99</v>
      </c>
      <c r="B100" t="s">
        <v>1180</v>
      </c>
      <c r="C100" t="s">
        <v>2</v>
      </c>
      <c r="D100" t="s">
        <v>1187</v>
      </c>
      <c r="E100" s="190" t="s">
        <v>1172</v>
      </c>
      <c r="F100" s="190" t="s">
        <v>1172</v>
      </c>
      <c r="G100">
        <v>102248000</v>
      </c>
      <c r="I100">
        <v>119425164</v>
      </c>
      <c r="J100">
        <v>119425164</v>
      </c>
      <c r="L100" t="s">
        <v>497</v>
      </c>
      <c r="N100" t="s">
        <v>1188</v>
      </c>
    </row>
    <row r="101" spans="1:14" ht="25.5">
      <c r="A101">
        <v>100</v>
      </c>
      <c r="B101" t="s">
        <v>1189</v>
      </c>
      <c r="C101" t="s">
        <v>2</v>
      </c>
      <c r="D101" t="s">
        <v>1190</v>
      </c>
      <c r="E101" s="190" t="s">
        <v>1172</v>
      </c>
      <c r="F101" s="190" t="s">
        <v>1172</v>
      </c>
      <c r="G101">
        <v>4447196</v>
      </c>
      <c r="I101">
        <v>6471342</v>
      </c>
      <c r="J101">
        <v>6471342</v>
      </c>
      <c r="K101">
        <v>0.44471959999999999</v>
      </c>
      <c r="L101" t="s">
        <v>497</v>
      </c>
      <c r="N101" t="s">
        <v>1191</v>
      </c>
    </row>
    <row r="102" spans="1:14" ht="25.5">
      <c r="A102">
        <v>101</v>
      </c>
      <c r="B102" t="s">
        <v>1192</v>
      </c>
      <c r="C102" t="s">
        <v>2</v>
      </c>
      <c r="D102" t="s">
        <v>1193</v>
      </c>
      <c r="E102" s="190" t="s">
        <v>1172</v>
      </c>
      <c r="F102" s="190" t="s">
        <v>1172</v>
      </c>
      <c r="G102">
        <v>188113920</v>
      </c>
      <c r="I102">
        <v>208409129</v>
      </c>
      <c r="J102">
        <v>208409129</v>
      </c>
      <c r="K102">
        <v>18.058892</v>
      </c>
      <c r="L102" t="s">
        <v>497</v>
      </c>
      <c r="N102" t="s">
        <v>1194</v>
      </c>
    </row>
    <row r="103" spans="1:14" ht="25.5">
      <c r="A103">
        <v>102</v>
      </c>
      <c r="B103" t="s">
        <v>1195</v>
      </c>
      <c r="C103" t="s">
        <v>166</v>
      </c>
      <c r="D103" t="s">
        <v>1196</v>
      </c>
      <c r="E103" s="190" t="s">
        <v>1197</v>
      </c>
      <c r="F103" s="190" t="s">
        <v>1197</v>
      </c>
      <c r="G103">
        <v>567439557</v>
      </c>
      <c r="I103">
        <v>617455120</v>
      </c>
      <c r="J103">
        <v>617455120</v>
      </c>
    </row>
    <row r="104" spans="1:14" ht="25.5">
      <c r="A104">
        <v>103</v>
      </c>
      <c r="B104" t="s">
        <v>151</v>
      </c>
      <c r="C104" t="s">
        <v>298</v>
      </c>
      <c r="D104" t="s">
        <v>687</v>
      </c>
      <c r="E104" s="190" t="s">
        <v>688</v>
      </c>
      <c r="F104" s="190" t="s">
        <v>688</v>
      </c>
      <c r="G104">
        <v>48455802.649999999</v>
      </c>
      <c r="I104">
        <v>55510257.649999999</v>
      </c>
      <c r="J104">
        <v>55510257.649999999</v>
      </c>
    </row>
    <row r="105" spans="1:14" ht="25.5">
      <c r="A105">
        <v>104</v>
      </c>
      <c r="B105" t="s">
        <v>689</v>
      </c>
      <c r="C105" t="s">
        <v>298</v>
      </c>
      <c r="D105" t="s">
        <v>690</v>
      </c>
      <c r="E105" s="190" t="s">
        <v>691</v>
      </c>
      <c r="F105" s="190" t="s">
        <v>691</v>
      </c>
      <c r="G105">
        <v>42817915.07</v>
      </c>
      <c r="I105">
        <v>18052365.07</v>
      </c>
      <c r="J105">
        <v>18052365.07</v>
      </c>
      <c r="K105">
        <v>0</v>
      </c>
    </row>
    <row r="106" spans="1:14">
      <c r="A106">
        <v>105</v>
      </c>
      <c r="B106" t="s">
        <v>719</v>
      </c>
      <c r="C106" t="s">
        <v>298</v>
      </c>
      <c r="D106" t="s">
        <v>720</v>
      </c>
      <c r="E106" s="190">
        <v>45181</v>
      </c>
      <c r="F106" s="190">
        <v>45181</v>
      </c>
      <c r="G106">
        <v>240403556</v>
      </c>
      <c r="I106">
        <v>281448896</v>
      </c>
      <c r="J106">
        <v>281448896</v>
      </c>
      <c r="K106">
        <v>0</v>
      </c>
    </row>
    <row r="107" spans="1:14" ht="25.5">
      <c r="A107">
        <v>106</v>
      </c>
      <c r="B107" t="s">
        <v>147</v>
      </c>
      <c r="C107" t="s">
        <v>0</v>
      </c>
      <c r="D107" t="s">
        <v>1198</v>
      </c>
      <c r="E107" s="190" t="s">
        <v>1178</v>
      </c>
      <c r="F107" s="190" t="s">
        <v>1178</v>
      </c>
      <c r="G107">
        <v>209485865.73999998</v>
      </c>
      <c r="I107">
        <v>235670258.74000001</v>
      </c>
      <c r="J107">
        <v>235670258.74000001</v>
      </c>
    </row>
    <row r="108" spans="1:14" ht="25.5">
      <c r="A108">
        <v>107</v>
      </c>
      <c r="B108" t="s">
        <v>153</v>
      </c>
      <c r="C108" t="s">
        <v>0</v>
      </c>
      <c r="D108" t="s">
        <v>1199</v>
      </c>
      <c r="E108" s="190" t="s">
        <v>1178</v>
      </c>
      <c r="F108" s="190" t="s">
        <v>1178</v>
      </c>
      <c r="G108">
        <v>103458000</v>
      </c>
      <c r="I108">
        <v>119157945</v>
      </c>
      <c r="J108">
        <v>119157945</v>
      </c>
      <c r="K108">
        <v>0</v>
      </c>
    </row>
    <row r="109" spans="1:14">
      <c r="A109">
        <v>108</v>
      </c>
      <c r="B109" t="s">
        <v>153</v>
      </c>
      <c r="C109" t="s">
        <v>0</v>
      </c>
      <c r="D109" t="s">
        <v>1200</v>
      </c>
      <c r="E109" s="190">
        <v>45056</v>
      </c>
      <c r="F109" s="190">
        <v>45056</v>
      </c>
      <c r="G109">
        <v>66451000</v>
      </c>
      <c r="I109">
        <v>80269515</v>
      </c>
      <c r="J109">
        <v>80269515</v>
      </c>
      <c r="K109">
        <v>0</v>
      </c>
    </row>
    <row r="110" spans="1:14" ht="25.5">
      <c r="A110">
        <v>109</v>
      </c>
      <c r="B110" t="s">
        <v>149</v>
      </c>
      <c r="C110" t="s">
        <v>0</v>
      </c>
      <c r="D110" t="s">
        <v>1201</v>
      </c>
      <c r="E110" s="190" t="s">
        <v>1172</v>
      </c>
      <c r="F110" s="190" t="s">
        <v>1172</v>
      </c>
      <c r="G110">
        <v>77222000</v>
      </c>
      <c r="I110">
        <v>91610083</v>
      </c>
      <c r="J110">
        <v>91610083</v>
      </c>
    </row>
    <row r="111" spans="1:14" ht="25.5">
      <c r="A111">
        <v>110</v>
      </c>
      <c r="B111" t="s">
        <v>151</v>
      </c>
      <c r="C111" t="s">
        <v>0</v>
      </c>
      <c r="D111" t="s">
        <v>1202</v>
      </c>
      <c r="E111" s="190" t="s">
        <v>1172</v>
      </c>
      <c r="F111" s="190" t="s">
        <v>1172</v>
      </c>
      <c r="G111">
        <v>22814816.780000001</v>
      </c>
      <c r="I111">
        <v>27062259.780000001</v>
      </c>
      <c r="J111">
        <v>27062259.780000001</v>
      </c>
      <c r="K111">
        <v>190750493.81999999</v>
      </c>
    </row>
    <row r="112" spans="1:14" ht="25.5">
      <c r="A112">
        <v>111</v>
      </c>
      <c r="B112" t="s">
        <v>153</v>
      </c>
      <c r="C112" t="s">
        <v>0</v>
      </c>
      <c r="D112" t="s">
        <v>1203</v>
      </c>
      <c r="E112" s="190" t="s">
        <v>1172</v>
      </c>
      <c r="F112" s="190" t="s">
        <v>1172</v>
      </c>
      <c r="G112">
        <v>49725900</v>
      </c>
      <c r="I112">
        <v>63412313</v>
      </c>
      <c r="J112">
        <v>63412313</v>
      </c>
      <c r="K112">
        <v>0</v>
      </c>
    </row>
    <row r="113" spans="1:11">
      <c r="A113">
        <v>112</v>
      </c>
      <c r="B113" t="s">
        <v>188</v>
      </c>
      <c r="C113" t="s">
        <v>2</v>
      </c>
      <c r="D113" t="s">
        <v>1204</v>
      </c>
      <c r="E113" s="190">
        <v>45182</v>
      </c>
      <c r="F113" s="190">
        <v>45182</v>
      </c>
      <c r="G113">
        <v>255204000</v>
      </c>
      <c r="I113">
        <v>300421742</v>
      </c>
      <c r="J113">
        <v>300421742</v>
      </c>
      <c r="K113">
        <v>9939200</v>
      </c>
    </row>
    <row r="114" spans="1:11" ht="25.5">
      <c r="A114">
        <v>113</v>
      </c>
      <c r="B114" t="s">
        <v>112</v>
      </c>
      <c r="C114" t="s">
        <v>110</v>
      </c>
      <c r="D114" t="s">
        <v>1205</v>
      </c>
      <c r="E114" s="17" t="s">
        <v>1206</v>
      </c>
      <c r="F114" s="17" t="s">
        <v>1206</v>
      </c>
      <c r="I114">
        <v>90396955</v>
      </c>
      <c r="J114">
        <v>90396955</v>
      </c>
      <c r="K114" t="s">
        <v>17</v>
      </c>
    </row>
    <row r="115" spans="1:11" ht="25.5">
      <c r="A115">
        <v>114</v>
      </c>
      <c r="B115" t="s">
        <v>112</v>
      </c>
      <c r="C115" t="s">
        <v>108</v>
      </c>
      <c r="D115" t="s">
        <v>1207</v>
      </c>
      <c r="E115" s="17" t="s">
        <v>960</v>
      </c>
      <c r="F115" s="17" t="s">
        <v>960</v>
      </c>
      <c r="G115">
        <v>28713761</v>
      </c>
      <c r="I115">
        <v>30430516</v>
      </c>
      <c r="J115">
        <v>30430516</v>
      </c>
      <c r="K115" t="s">
        <v>17</v>
      </c>
    </row>
    <row r="116" spans="1:11" ht="25.5">
      <c r="A116">
        <v>115</v>
      </c>
      <c r="B116" t="s">
        <v>143</v>
      </c>
      <c r="C116" t="s">
        <v>108</v>
      </c>
      <c r="D116" t="s">
        <v>1208</v>
      </c>
      <c r="E116" s="17" t="s">
        <v>1209</v>
      </c>
      <c r="F116" s="17" t="s">
        <v>1209</v>
      </c>
      <c r="G116">
        <v>71071050</v>
      </c>
      <c r="I116">
        <v>83538680</v>
      </c>
      <c r="J116">
        <v>83538680</v>
      </c>
    </row>
    <row r="117" spans="1:11" ht="25.5">
      <c r="A117">
        <v>116</v>
      </c>
      <c r="B117" t="s">
        <v>143</v>
      </c>
      <c r="C117" t="s">
        <v>108</v>
      </c>
      <c r="D117" t="s">
        <v>1210</v>
      </c>
      <c r="E117" s="17" t="s">
        <v>1211</v>
      </c>
      <c r="F117" s="17" t="s">
        <v>1211</v>
      </c>
      <c r="G117">
        <v>18619228</v>
      </c>
      <c r="I117">
        <v>21742805</v>
      </c>
      <c r="J117">
        <v>21742805</v>
      </c>
    </row>
    <row r="118" spans="1:11" ht="25.5">
      <c r="A118">
        <v>117</v>
      </c>
      <c r="B118" t="s">
        <v>143</v>
      </c>
      <c r="C118" t="s">
        <v>108</v>
      </c>
      <c r="D118" t="s">
        <v>1212</v>
      </c>
      <c r="E118" s="17" t="s">
        <v>1211</v>
      </c>
      <c r="F118" s="17" t="s">
        <v>1211</v>
      </c>
      <c r="G118">
        <v>2933381</v>
      </c>
      <c r="I118">
        <v>3425795</v>
      </c>
      <c r="J118">
        <v>3425795</v>
      </c>
    </row>
    <row r="119" spans="1:11">
      <c r="A119">
        <v>118</v>
      </c>
      <c r="B119" t="s">
        <v>1213</v>
      </c>
      <c r="C119" t="s">
        <v>108</v>
      </c>
      <c r="D119" t="s">
        <v>1214</v>
      </c>
      <c r="E119" s="17"/>
      <c r="F119" s="17"/>
      <c r="G119">
        <v>140132065.65000001</v>
      </c>
      <c r="I119">
        <v>146682808.65000001</v>
      </c>
      <c r="J119">
        <v>146682808.65000001</v>
      </c>
    </row>
    <row r="120" spans="1:11">
      <c r="A120">
        <v>119</v>
      </c>
      <c r="B120" t="s">
        <v>1215</v>
      </c>
      <c r="C120" t="s">
        <v>605</v>
      </c>
      <c r="D120" t="s">
        <v>1216</v>
      </c>
      <c r="E120" s="192"/>
      <c r="F120" s="192"/>
      <c r="G120">
        <v>173113423.83000001</v>
      </c>
      <c r="I120">
        <v>197658646.83000001</v>
      </c>
      <c r="J120">
        <v>197658646.83000001</v>
      </c>
    </row>
    <row r="121" spans="1:11">
      <c r="A121">
        <v>120</v>
      </c>
      <c r="B121" t="s">
        <v>1217</v>
      </c>
      <c r="C121" t="s">
        <v>1248</v>
      </c>
      <c r="D121" t="s">
        <v>1218</v>
      </c>
      <c r="E121" s="193"/>
      <c r="F121" s="193"/>
      <c r="G121">
        <v>569643427</v>
      </c>
      <c r="I121">
        <v>621334397</v>
      </c>
      <c r="J121">
        <v>621334397</v>
      </c>
    </row>
    <row r="122" spans="1:11">
      <c r="A122">
        <v>121</v>
      </c>
      <c r="D122" t="s">
        <v>1219</v>
      </c>
      <c r="E122" s="194"/>
      <c r="F122" s="194"/>
      <c r="J122">
        <v>157324</v>
      </c>
    </row>
    <row r="123" spans="1:11" ht="15.75">
      <c r="A123">
        <v>122</v>
      </c>
      <c r="D123" t="s">
        <v>1220</v>
      </c>
      <c r="E123" s="195"/>
      <c r="F123" s="195"/>
      <c r="J123">
        <v>196031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212"/>
  <sheetViews>
    <sheetView topLeftCell="A176" workbookViewId="0">
      <selection activeCell="B6" sqref="B6:B212"/>
    </sheetView>
  </sheetViews>
  <sheetFormatPr defaultRowHeight="15" outlineLevelRow="2"/>
  <cols>
    <col min="2" max="2" width="46.7109375" bestFit="1" customWidth="1"/>
    <col min="3" max="3" width="40.28515625" bestFit="1" customWidth="1"/>
  </cols>
  <sheetData>
    <row r="2" spans="2:3">
      <c r="B2" s="85" t="s">
        <v>175</v>
      </c>
      <c r="C2" s="85" t="s">
        <v>176</v>
      </c>
    </row>
    <row r="3" spans="2:3" outlineLevel="2">
      <c r="B3">
        <v>1</v>
      </c>
      <c r="C3" t="s">
        <v>623</v>
      </c>
    </row>
    <row r="4" spans="2:3" outlineLevel="2">
      <c r="B4">
        <v>2</v>
      </c>
      <c r="C4" t="s">
        <v>623</v>
      </c>
    </row>
    <row r="5" spans="2:3" outlineLevel="2">
      <c r="B5">
        <v>3</v>
      </c>
      <c r="C5" t="s">
        <v>623</v>
      </c>
    </row>
    <row r="6" spans="2:3" outlineLevel="1">
      <c r="B6" s="197" t="s">
        <v>815</v>
      </c>
      <c r="C6">
        <f>SUBTOTAL(3,C3:C5)</f>
        <v>3</v>
      </c>
    </row>
    <row r="7" spans="2:3" outlineLevel="2">
      <c r="B7">
        <v>4</v>
      </c>
      <c r="C7" t="s">
        <v>970</v>
      </c>
    </row>
    <row r="8" spans="2:3" outlineLevel="1">
      <c r="B8" s="184" t="s">
        <v>1249</v>
      </c>
      <c r="C8">
        <f>SUBTOTAL(3,C7:C7)</f>
        <v>1</v>
      </c>
    </row>
    <row r="9" spans="2:3" outlineLevel="2">
      <c r="B9">
        <v>5</v>
      </c>
      <c r="C9" t="s">
        <v>973</v>
      </c>
    </row>
    <row r="10" spans="2:3" outlineLevel="2">
      <c r="B10">
        <v>6</v>
      </c>
      <c r="C10" t="s">
        <v>973</v>
      </c>
    </row>
    <row r="11" spans="2:3" outlineLevel="1">
      <c r="B11" s="184" t="s">
        <v>1250</v>
      </c>
      <c r="C11">
        <f>SUBTOTAL(3,C9:C10)</f>
        <v>2</v>
      </c>
    </row>
    <row r="12" spans="2:3" outlineLevel="2">
      <c r="B12">
        <v>7</v>
      </c>
      <c r="C12" t="s">
        <v>977</v>
      </c>
    </row>
    <row r="13" spans="2:3" outlineLevel="1">
      <c r="B13" s="184" t="s">
        <v>1251</v>
      </c>
      <c r="C13">
        <f>SUBTOTAL(3,C12:C12)</f>
        <v>1</v>
      </c>
    </row>
    <row r="14" spans="2:3" outlineLevel="2">
      <c r="B14">
        <v>8</v>
      </c>
      <c r="C14" t="s">
        <v>980</v>
      </c>
    </row>
    <row r="15" spans="2:3" outlineLevel="1">
      <c r="B15" s="184" t="s">
        <v>1252</v>
      </c>
      <c r="C15">
        <f>SUBTOTAL(3,C14:C14)</f>
        <v>1</v>
      </c>
    </row>
    <row r="16" spans="2:3" outlineLevel="2">
      <c r="B16">
        <v>9</v>
      </c>
      <c r="C16" t="s">
        <v>982</v>
      </c>
    </row>
    <row r="17" spans="2:3" outlineLevel="2">
      <c r="B17">
        <v>10</v>
      </c>
      <c r="C17" t="s">
        <v>982</v>
      </c>
    </row>
    <row r="18" spans="2:3" outlineLevel="1">
      <c r="B18" s="184" t="s">
        <v>1253</v>
      </c>
      <c r="C18">
        <f>SUBTOTAL(3,C16:C17)</f>
        <v>2</v>
      </c>
    </row>
    <row r="19" spans="2:3" outlineLevel="2">
      <c r="B19">
        <v>11</v>
      </c>
      <c r="C19" t="s">
        <v>987</v>
      </c>
    </row>
    <row r="20" spans="2:3" outlineLevel="1">
      <c r="B20" s="184" t="s">
        <v>1254</v>
      </c>
      <c r="C20">
        <f>SUBTOTAL(3,C19:C19)</f>
        <v>1</v>
      </c>
    </row>
    <row r="21" spans="2:3" outlineLevel="2">
      <c r="B21">
        <v>12</v>
      </c>
      <c r="C21" t="s">
        <v>991</v>
      </c>
    </row>
    <row r="22" spans="2:3" outlineLevel="1">
      <c r="B22" s="184" t="s">
        <v>1255</v>
      </c>
      <c r="C22">
        <f>SUBTOTAL(3,C21:C21)</f>
        <v>1</v>
      </c>
    </row>
    <row r="23" spans="2:3" outlineLevel="2">
      <c r="B23">
        <v>13</v>
      </c>
      <c r="C23" t="s">
        <v>995</v>
      </c>
    </row>
    <row r="24" spans="2:3" outlineLevel="1">
      <c r="B24" s="184" t="s">
        <v>1256</v>
      </c>
      <c r="C24">
        <f>SUBTOTAL(3,C23:C23)</f>
        <v>1</v>
      </c>
    </row>
    <row r="25" spans="2:3" outlineLevel="2">
      <c r="B25">
        <v>14</v>
      </c>
      <c r="C25" t="s">
        <v>999</v>
      </c>
    </row>
    <row r="26" spans="2:3" outlineLevel="1">
      <c r="B26" s="184" t="s">
        <v>1257</v>
      </c>
      <c r="C26">
        <f>SUBTOTAL(3,C25:C25)</f>
        <v>1</v>
      </c>
    </row>
    <row r="27" spans="2:3" outlineLevel="2">
      <c r="B27">
        <v>15</v>
      </c>
      <c r="C27" t="s">
        <v>1002</v>
      </c>
    </row>
    <row r="28" spans="2:3" outlineLevel="1">
      <c r="B28" s="184" t="s">
        <v>1258</v>
      </c>
      <c r="C28">
        <f>SUBTOTAL(3,C27:C27)</f>
        <v>1</v>
      </c>
    </row>
    <row r="29" spans="2:3" outlineLevel="2">
      <c r="B29">
        <v>16</v>
      </c>
      <c r="C29" t="s">
        <v>1004</v>
      </c>
    </row>
    <row r="30" spans="2:3" outlineLevel="1">
      <c r="B30" s="184" t="s">
        <v>1259</v>
      </c>
      <c r="C30">
        <f>SUBTOTAL(3,C29:C29)</f>
        <v>1</v>
      </c>
    </row>
    <row r="31" spans="2:3" outlineLevel="2">
      <c r="B31">
        <v>17</v>
      </c>
      <c r="C31" t="s">
        <v>1007</v>
      </c>
    </row>
    <row r="32" spans="2:3" outlineLevel="1">
      <c r="B32" s="184" t="s">
        <v>1260</v>
      </c>
      <c r="C32">
        <f>SUBTOTAL(3,C31:C31)</f>
        <v>1</v>
      </c>
    </row>
    <row r="33" spans="2:3" outlineLevel="2">
      <c r="B33">
        <v>18</v>
      </c>
      <c r="C33" t="s">
        <v>1010</v>
      </c>
    </row>
    <row r="34" spans="2:3" outlineLevel="1">
      <c r="B34" s="184" t="s">
        <v>1261</v>
      </c>
      <c r="C34">
        <f>SUBTOTAL(3,C33:C33)</f>
        <v>1</v>
      </c>
    </row>
    <row r="35" spans="2:3" outlineLevel="2">
      <c r="B35">
        <v>19</v>
      </c>
      <c r="C35" t="s">
        <v>1013</v>
      </c>
    </row>
    <row r="36" spans="2:3" outlineLevel="1">
      <c r="B36" s="184" t="s">
        <v>1262</v>
      </c>
      <c r="C36">
        <f>SUBTOTAL(3,C35:C35)</f>
        <v>1</v>
      </c>
    </row>
    <row r="37" spans="2:3" outlineLevel="2">
      <c r="B37">
        <v>20</v>
      </c>
      <c r="C37" t="s">
        <v>1010</v>
      </c>
    </row>
    <row r="38" spans="2:3" outlineLevel="1">
      <c r="B38" s="184" t="s">
        <v>1261</v>
      </c>
      <c r="C38">
        <f>SUBTOTAL(3,C37:C37)</f>
        <v>1</v>
      </c>
    </row>
    <row r="39" spans="2:3" outlineLevel="2">
      <c r="B39">
        <v>21</v>
      </c>
      <c r="C39" t="s">
        <v>1019</v>
      </c>
    </row>
    <row r="40" spans="2:3" outlineLevel="1">
      <c r="B40" s="184" t="s">
        <v>1263</v>
      </c>
      <c r="C40">
        <f>SUBTOTAL(3,C39:C39)</f>
        <v>1</v>
      </c>
    </row>
    <row r="41" spans="2:3" outlineLevel="2">
      <c r="B41">
        <v>22</v>
      </c>
      <c r="C41" t="s">
        <v>1013</v>
      </c>
    </row>
    <row r="42" spans="2:3" outlineLevel="1">
      <c r="B42" s="184" t="s">
        <v>1262</v>
      </c>
      <c r="C42">
        <f>SUBTOTAL(3,C41:C41)</f>
        <v>1</v>
      </c>
    </row>
    <row r="43" spans="2:3" outlineLevel="2">
      <c r="B43">
        <v>23</v>
      </c>
      <c r="C43" t="s">
        <v>133</v>
      </c>
    </row>
    <row r="44" spans="2:3" outlineLevel="2">
      <c r="B44">
        <v>24</v>
      </c>
      <c r="C44" t="s">
        <v>133</v>
      </c>
    </row>
    <row r="45" spans="2:3" outlineLevel="1">
      <c r="B45" s="184" t="s">
        <v>1264</v>
      </c>
      <c r="C45">
        <f>SUBTOTAL(3,C43:C44)</f>
        <v>2</v>
      </c>
    </row>
    <row r="46" spans="2:3" outlineLevel="2">
      <c r="B46">
        <v>25</v>
      </c>
      <c r="C46" t="s">
        <v>132</v>
      </c>
    </row>
    <row r="47" spans="2:3" outlineLevel="2">
      <c r="B47">
        <v>26</v>
      </c>
      <c r="C47" t="s">
        <v>132</v>
      </c>
    </row>
    <row r="48" spans="2:3" outlineLevel="1">
      <c r="B48" s="184" t="s">
        <v>1265</v>
      </c>
      <c r="C48">
        <f>SUBTOTAL(3,C46:C47)</f>
        <v>2</v>
      </c>
    </row>
    <row r="49" spans="2:3" outlineLevel="2">
      <c r="B49">
        <v>27</v>
      </c>
      <c r="C49" t="s">
        <v>126</v>
      </c>
    </row>
    <row r="50" spans="2:3" outlineLevel="2">
      <c r="B50">
        <v>28</v>
      </c>
      <c r="C50" t="s">
        <v>126</v>
      </c>
    </row>
    <row r="51" spans="2:3" outlineLevel="1">
      <c r="B51" s="184" t="s">
        <v>1266</v>
      </c>
      <c r="C51">
        <f>SUBTOTAL(3,C49:C50)</f>
        <v>2</v>
      </c>
    </row>
    <row r="52" spans="2:3" outlineLevel="1">
      <c r="B52">
        <v>29</v>
      </c>
    </row>
    <row r="53" spans="2:3" outlineLevel="2">
      <c r="B53">
        <v>30</v>
      </c>
      <c r="C53" t="s">
        <v>1041</v>
      </c>
    </row>
    <row r="54" spans="2:3" outlineLevel="2">
      <c r="B54">
        <v>31</v>
      </c>
      <c r="C54" t="s">
        <v>1041</v>
      </c>
    </row>
    <row r="55" spans="2:3" outlineLevel="2">
      <c r="B55">
        <v>32</v>
      </c>
      <c r="C55" t="s">
        <v>1041</v>
      </c>
    </row>
    <row r="56" spans="2:3" outlineLevel="2">
      <c r="B56">
        <v>33</v>
      </c>
      <c r="C56" t="s">
        <v>1041</v>
      </c>
    </row>
    <row r="57" spans="2:3" outlineLevel="1">
      <c r="B57" s="184" t="s">
        <v>1267</v>
      </c>
      <c r="C57">
        <f>SUBTOTAL(3,C53:C56)</f>
        <v>4</v>
      </c>
    </row>
    <row r="58" spans="2:3" outlineLevel="2">
      <c r="B58">
        <v>34</v>
      </c>
      <c r="C58" t="s">
        <v>1048</v>
      </c>
    </row>
    <row r="59" spans="2:3" outlineLevel="1">
      <c r="B59" s="184" t="s">
        <v>1268</v>
      </c>
      <c r="C59">
        <f>SUBTOTAL(3,C58:C58)</f>
        <v>1</v>
      </c>
    </row>
    <row r="60" spans="2:3" outlineLevel="2">
      <c r="B60">
        <v>35</v>
      </c>
      <c r="C60" t="s">
        <v>1050</v>
      </c>
    </row>
    <row r="61" spans="2:3" outlineLevel="1">
      <c r="B61" s="184" t="s">
        <v>1269</v>
      </c>
      <c r="C61">
        <f>SUBTOTAL(3,C60:C60)</f>
        <v>1</v>
      </c>
    </row>
    <row r="62" spans="2:3" outlineLevel="2">
      <c r="B62">
        <v>36</v>
      </c>
      <c r="C62" t="s">
        <v>1052</v>
      </c>
    </row>
    <row r="63" spans="2:3" outlineLevel="2">
      <c r="B63">
        <v>37</v>
      </c>
      <c r="C63" t="s">
        <v>1052</v>
      </c>
    </row>
    <row r="64" spans="2:3" outlineLevel="2">
      <c r="B64">
        <v>38</v>
      </c>
      <c r="C64" t="s">
        <v>1052</v>
      </c>
    </row>
    <row r="65" spans="2:3" outlineLevel="1">
      <c r="B65" s="184" t="s">
        <v>1270</v>
      </c>
      <c r="C65">
        <f>SUBTOTAL(3,C62:C64)</f>
        <v>3</v>
      </c>
    </row>
    <row r="66" spans="2:3" outlineLevel="2">
      <c r="B66">
        <v>39</v>
      </c>
      <c r="C66" t="s">
        <v>1041</v>
      </c>
    </row>
    <row r="67" spans="2:3" outlineLevel="1">
      <c r="B67" s="184" t="s">
        <v>1267</v>
      </c>
      <c r="C67">
        <f>SUBTOTAL(3,C66:C66)</f>
        <v>1</v>
      </c>
    </row>
    <row r="68" spans="2:3" outlineLevel="2">
      <c r="B68">
        <v>40</v>
      </c>
      <c r="C68" t="s">
        <v>517</v>
      </c>
    </row>
    <row r="69" spans="2:3" outlineLevel="2">
      <c r="B69">
        <v>41</v>
      </c>
      <c r="C69" t="s">
        <v>517</v>
      </c>
    </row>
    <row r="70" spans="2:3" outlineLevel="1">
      <c r="B70" s="184" t="s">
        <v>785</v>
      </c>
      <c r="C70">
        <f>SUBTOTAL(3,C68:C69)</f>
        <v>2</v>
      </c>
    </row>
    <row r="71" spans="2:3" outlineLevel="2">
      <c r="B71">
        <v>42</v>
      </c>
      <c r="C71" t="s">
        <v>527</v>
      </c>
    </row>
    <row r="72" spans="2:3" outlineLevel="1">
      <c r="B72" s="184" t="s">
        <v>786</v>
      </c>
      <c r="C72">
        <f>SUBTOTAL(3,C71:C71)</f>
        <v>1</v>
      </c>
    </row>
    <row r="73" spans="2:3" outlineLevel="2">
      <c r="B73">
        <v>43</v>
      </c>
      <c r="C73" t="s">
        <v>1066</v>
      </c>
    </row>
    <row r="74" spans="2:3" outlineLevel="2">
      <c r="B74">
        <v>44</v>
      </c>
      <c r="C74" t="s">
        <v>1066</v>
      </c>
    </row>
    <row r="75" spans="2:3" outlineLevel="2">
      <c r="B75">
        <v>45</v>
      </c>
      <c r="C75" t="s">
        <v>1066</v>
      </c>
    </row>
    <row r="76" spans="2:3" outlineLevel="2">
      <c r="B76">
        <v>46</v>
      </c>
      <c r="C76" t="s">
        <v>1066</v>
      </c>
    </row>
    <row r="77" spans="2:3" outlineLevel="2">
      <c r="B77">
        <v>47</v>
      </c>
      <c r="C77" t="s">
        <v>1066</v>
      </c>
    </row>
    <row r="78" spans="2:3" outlineLevel="2">
      <c r="B78">
        <v>48</v>
      </c>
      <c r="C78" t="s">
        <v>1066</v>
      </c>
    </row>
    <row r="79" spans="2:3" outlineLevel="2">
      <c r="B79">
        <v>49</v>
      </c>
      <c r="C79" t="s">
        <v>1066</v>
      </c>
    </row>
    <row r="80" spans="2:3" outlineLevel="1">
      <c r="B80" s="184" t="s">
        <v>1271</v>
      </c>
      <c r="C80">
        <f>SUBTOTAL(3,C73:C79)</f>
        <v>7</v>
      </c>
    </row>
    <row r="81" spans="2:3" outlineLevel="2">
      <c r="B81">
        <v>50</v>
      </c>
      <c r="C81" t="s">
        <v>531</v>
      </c>
    </row>
    <row r="82" spans="2:3" outlineLevel="1">
      <c r="B82" s="184" t="s">
        <v>787</v>
      </c>
      <c r="C82">
        <f>SUBTOTAL(3,C81:C81)</f>
        <v>1</v>
      </c>
    </row>
    <row r="83" spans="2:3" outlineLevel="2">
      <c r="B83">
        <v>51</v>
      </c>
      <c r="C83" t="s">
        <v>71</v>
      </c>
    </row>
    <row r="84" spans="2:3" outlineLevel="2">
      <c r="B84">
        <v>52</v>
      </c>
      <c r="C84" t="s">
        <v>71</v>
      </c>
    </row>
    <row r="85" spans="2:3" outlineLevel="1">
      <c r="B85" s="184" t="s">
        <v>788</v>
      </c>
      <c r="C85">
        <f>SUBTOTAL(3,C83:C84)</f>
        <v>2</v>
      </c>
    </row>
    <row r="86" spans="2:3" outlineLevel="2">
      <c r="B86">
        <v>53</v>
      </c>
      <c r="C86" t="s">
        <v>1081</v>
      </c>
    </row>
    <row r="87" spans="2:3" outlineLevel="2">
      <c r="B87">
        <v>54</v>
      </c>
      <c r="C87" t="s">
        <v>1081</v>
      </c>
    </row>
    <row r="88" spans="2:3" outlineLevel="2">
      <c r="B88">
        <v>55</v>
      </c>
      <c r="C88" t="s">
        <v>1081</v>
      </c>
    </row>
    <row r="89" spans="2:3" outlineLevel="1">
      <c r="B89" s="184" t="s">
        <v>1272</v>
      </c>
      <c r="C89">
        <f>SUBTOTAL(3,C86:C88)</f>
        <v>3</v>
      </c>
    </row>
    <row r="90" spans="2:3" outlineLevel="2">
      <c r="B90">
        <v>56</v>
      </c>
      <c r="C90" t="s">
        <v>1085</v>
      </c>
    </row>
    <row r="91" spans="2:3" outlineLevel="1">
      <c r="B91" s="184" t="s">
        <v>1273</v>
      </c>
      <c r="C91">
        <f>SUBTOTAL(3,C90:C90)</f>
        <v>1</v>
      </c>
    </row>
    <row r="92" spans="2:3" outlineLevel="2">
      <c r="B92">
        <v>57</v>
      </c>
      <c r="C92" t="s">
        <v>1089</v>
      </c>
    </row>
    <row r="93" spans="2:3" outlineLevel="1">
      <c r="B93" s="184" t="s">
        <v>1274</v>
      </c>
      <c r="C93">
        <f>SUBTOTAL(3,C92:C92)</f>
        <v>1</v>
      </c>
    </row>
    <row r="94" spans="2:3" outlineLevel="2">
      <c r="B94">
        <v>58</v>
      </c>
      <c r="C94" t="s">
        <v>1092</v>
      </c>
    </row>
    <row r="95" spans="2:3" outlineLevel="1">
      <c r="B95" s="184" t="s">
        <v>1275</v>
      </c>
      <c r="C95">
        <f>SUBTOTAL(3,C94:C94)</f>
        <v>1</v>
      </c>
    </row>
    <row r="96" spans="2:3" outlineLevel="2">
      <c r="B96">
        <v>59</v>
      </c>
      <c r="C96" t="s">
        <v>1095</v>
      </c>
    </row>
    <row r="97" spans="2:3" outlineLevel="1">
      <c r="B97" s="184" t="s">
        <v>1276</v>
      </c>
      <c r="C97">
        <f>SUBTOTAL(3,C96:C96)</f>
        <v>1</v>
      </c>
    </row>
    <row r="98" spans="2:3" outlineLevel="2">
      <c r="B98">
        <v>60</v>
      </c>
      <c r="C98" t="s">
        <v>1098</v>
      </c>
    </row>
    <row r="99" spans="2:3" outlineLevel="1">
      <c r="B99" s="184" t="s">
        <v>1277</v>
      </c>
      <c r="C99">
        <f>SUBTOTAL(3,C98:C98)</f>
        <v>1</v>
      </c>
    </row>
    <row r="100" spans="2:3" outlineLevel="2">
      <c r="B100">
        <v>61</v>
      </c>
      <c r="C100" t="s">
        <v>1100</v>
      </c>
    </row>
    <row r="101" spans="2:3" outlineLevel="1">
      <c r="B101" s="184" t="s">
        <v>1278</v>
      </c>
      <c r="C101">
        <f>SUBTOTAL(3,C100:C100)</f>
        <v>1</v>
      </c>
    </row>
    <row r="102" spans="2:3" outlineLevel="2">
      <c r="B102">
        <v>62</v>
      </c>
      <c r="C102" t="s">
        <v>1104</v>
      </c>
    </row>
    <row r="103" spans="2:3" outlineLevel="1">
      <c r="B103" s="184" t="s">
        <v>1279</v>
      </c>
      <c r="C103">
        <f>SUBTOTAL(3,C102:C102)</f>
        <v>1</v>
      </c>
    </row>
    <row r="104" spans="2:3" outlineLevel="2">
      <c r="B104">
        <v>63</v>
      </c>
      <c r="C104" t="s">
        <v>506</v>
      </c>
    </row>
    <row r="105" spans="2:3" outlineLevel="1">
      <c r="B105" s="184" t="s">
        <v>782</v>
      </c>
      <c r="C105">
        <f>SUBTOTAL(3,C104:C104)</f>
        <v>1</v>
      </c>
    </row>
    <row r="106" spans="2:3" outlineLevel="2">
      <c r="B106">
        <v>64</v>
      </c>
      <c r="C106" t="s">
        <v>112</v>
      </c>
    </row>
    <row r="107" spans="2:3" outlineLevel="1">
      <c r="B107" s="184" t="s">
        <v>1280</v>
      </c>
      <c r="C107">
        <f>SUBTOTAL(3,C106:C106)</f>
        <v>1</v>
      </c>
    </row>
    <row r="108" spans="2:3" outlineLevel="2">
      <c r="B108">
        <v>65</v>
      </c>
      <c r="C108" t="s">
        <v>1111</v>
      </c>
    </row>
    <row r="109" spans="2:3" outlineLevel="1">
      <c r="B109" s="184" t="s">
        <v>1281</v>
      </c>
      <c r="C109">
        <f>SUBTOTAL(3,C108:C108)</f>
        <v>1</v>
      </c>
    </row>
    <row r="110" spans="2:3" outlineLevel="2">
      <c r="B110">
        <v>66</v>
      </c>
      <c r="C110" t="s">
        <v>106</v>
      </c>
    </row>
    <row r="111" spans="2:3" outlineLevel="1">
      <c r="B111" s="184" t="s">
        <v>1282</v>
      </c>
      <c r="C111">
        <f>SUBTOTAL(3,C110:C110)</f>
        <v>1</v>
      </c>
    </row>
    <row r="112" spans="2:3" outlineLevel="2">
      <c r="B112">
        <v>67</v>
      </c>
      <c r="C112" t="s">
        <v>109</v>
      </c>
    </row>
    <row r="113" spans="2:3" outlineLevel="1">
      <c r="B113" s="184" t="s">
        <v>1283</v>
      </c>
      <c r="C113">
        <f>SUBTOTAL(3,C112:C112)</f>
        <v>1</v>
      </c>
    </row>
    <row r="114" spans="2:3" outlineLevel="2">
      <c r="B114">
        <v>68</v>
      </c>
      <c r="C114" t="s">
        <v>112</v>
      </c>
    </row>
    <row r="115" spans="2:3" outlineLevel="1">
      <c r="B115" s="184" t="s">
        <v>1280</v>
      </c>
      <c r="C115">
        <f>SUBTOTAL(3,C114:C114)</f>
        <v>1</v>
      </c>
    </row>
    <row r="116" spans="2:3" outlineLevel="2">
      <c r="B116">
        <v>69</v>
      </c>
      <c r="C116" t="s">
        <v>1120</v>
      </c>
    </row>
    <row r="117" spans="2:3" outlineLevel="1">
      <c r="B117" s="184" t="s">
        <v>1284</v>
      </c>
      <c r="C117">
        <f>SUBTOTAL(3,C116:C116)</f>
        <v>1</v>
      </c>
    </row>
    <row r="118" spans="2:3" outlineLevel="2">
      <c r="B118">
        <v>70</v>
      </c>
      <c r="C118" t="s">
        <v>1123</v>
      </c>
    </row>
    <row r="119" spans="2:3" outlineLevel="2">
      <c r="B119">
        <v>71</v>
      </c>
      <c r="C119" t="s">
        <v>1123</v>
      </c>
    </row>
    <row r="120" spans="2:3" outlineLevel="1">
      <c r="B120" s="184" t="s">
        <v>1285</v>
      </c>
      <c r="C120">
        <f>SUBTOTAL(3,C118:C119)</f>
        <v>2</v>
      </c>
    </row>
    <row r="121" spans="2:3" outlineLevel="2">
      <c r="B121">
        <v>72</v>
      </c>
      <c r="C121" t="s">
        <v>1126</v>
      </c>
    </row>
    <row r="122" spans="2:3" outlineLevel="1">
      <c r="B122" s="184" t="s">
        <v>1286</v>
      </c>
      <c r="C122">
        <f>SUBTOTAL(3,C121:C121)</f>
        <v>1</v>
      </c>
    </row>
    <row r="123" spans="2:3" outlineLevel="2">
      <c r="B123">
        <v>73</v>
      </c>
      <c r="C123" t="s">
        <v>1128</v>
      </c>
    </row>
    <row r="124" spans="2:3" outlineLevel="1">
      <c r="B124" s="184" t="s">
        <v>1287</v>
      </c>
      <c r="C124">
        <f>SUBTOTAL(3,C123:C123)</f>
        <v>1</v>
      </c>
    </row>
    <row r="125" spans="2:3" outlineLevel="2">
      <c r="B125">
        <v>74</v>
      </c>
      <c r="C125" t="s">
        <v>130</v>
      </c>
    </row>
    <row r="126" spans="2:3" outlineLevel="1">
      <c r="B126" s="184" t="s">
        <v>1288</v>
      </c>
      <c r="C126">
        <f>SUBTOTAL(3,C125:C125)</f>
        <v>1</v>
      </c>
    </row>
    <row r="127" spans="2:3" outlineLevel="2">
      <c r="B127">
        <v>75</v>
      </c>
      <c r="C127" t="s">
        <v>1120</v>
      </c>
    </row>
    <row r="128" spans="2:3" outlineLevel="1">
      <c r="B128" s="184" t="s">
        <v>1284</v>
      </c>
      <c r="C128">
        <f>SUBTOTAL(3,C127:C127)</f>
        <v>1</v>
      </c>
    </row>
    <row r="129" spans="2:3" outlineLevel="2">
      <c r="B129">
        <v>76</v>
      </c>
      <c r="C129" t="s">
        <v>1126</v>
      </c>
    </row>
    <row r="130" spans="2:3" outlineLevel="1">
      <c r="B130" s="184" t="s">
        <v>1286</v>
      </c>
      <c r="C130">
        <f>SUBTOTAL(3,C129:C129)</f>
        <v>1</v>
      </c>
    </row>
    <row r="131" spans="2:3" outlineLevel="2">
      <c r="B131">
        <v>77</v>
      </c>
      <c r="C131" t="s">
        <v>527</v>
      </c>
    </row>
    <row r="132" spans="2:3" outlineLevel="2">
      <c r="B132">
        <v>78</v>
      </c>
      <c r="C132" t="s">
        <v>527</v>
      </c>
    </row>
    <row r="133" spans="2:3" outlineLevel="2">
      <c r="B133">
        <v>79</v>
      </c>
      <c r="C133" t="s">
        <v>527</v>
      </c>
    </row>
    <row r="134" spans="2:3" outlineLevel="2">
      <c r="B134">
        <v>80</v>
      </c>
      <c r="C134" t="s">
        <v>527</v>
      </c>
    </row>
    <row r="135" spans="2:3" outlineLevel="1">
      <c r="B135" s="184" t="s">
        <v>786</v>
      </c>
      <c r="C135">
        <f>SUBTOTAL(3,C131:C134)</f>
        <v>4</v>
      </c>
    </row>
    <row r="136" spans="2:3" outlineLevel="2">
      <c r="B136">
        <v>81</v>
      </c>
      <c r="C136" t="s">
        <v>1140</v>
      </c>
    </row>
    <row r="137" spans="2:3" outlineLevel="1">
      <c r="B137" s="184" t="s">
        <v>1289</v>
      </c>
      <c r="C137">
        <f>SUBTOTAL(3,C136:C136)</f>
        <v>1</v>
      </c>
    </row>
    <row r="138" spans="2:3" outlineLevel="2">
      <c r="B138">
        <v>82</v>
      </c>
      <c r="C138" t="s">
        <v>1145</v>
      </c>
    </row>
    <row r="139" spans="2:3" outlineLevel="1">
      <c r="B139" s="184" t="s">
        <v>1290</v>
      </c>
      <c r="C139">
        <f>SUBTOTAL(3,C138:C138)</f>
        <v>1</v>
      </c>
    </row>
    <row r="140" spans="2:3" outlineLevel="2">
      <c r="B140">
        <v>83</v>
      </c>
      <c r="C140" t="s">
        <v>1149</v>
      </c>
    </row>
    <row r="141" spans="2:3" outlineLevel="1">
      <c r="B141" s="184" t="s">
        <v>1291</v>
      </c>
      <c r="C141">
        <f>SUBTOTAL(3,C140:C140)</f>
        <v>1</v>
      </c>
    </row>
    <row r="142" spans="2:3" outlineLevel="2">
      <c r="B142">
        <v>84</v>
      </c>
      <c r="C142" t="s">
        <v>126</v>
      </c>
    </row>
    <row r="143" spans="2:3" outlineLevel="1">
      <c r="B143" s="184" t="s">
        <v>1266</v>
      </c>
      <c r="C143">
        <f>SUBTOTAL(3,C142:C142)</f>
        <v>1</v>
      </c>
    </row>
    <row r="144" spans="2:3" outlineLevel="2">
      <c r="B144">
        <v>85</v>
      </c>
      <c r="C144" t="s">
        <v>1153</v>
      </c>
    </row>
    <row r="145" spans="2:3" outlineLevel="1">
      <c r="B145" s="184" t="s">
        <v>1292</v>
      </c>
      <c r="C145">
        <f>SUBTOTAL(3,C144:C144)</f>
        <v>1</v>
      </c>
    </row>
    <row r="146" spans="2:3" outlineLevel="2">
      <c r="B146">
        <v>86</v>
      </c>
      <c r="C146" t="s">
        <v>1155</v>
      </c>
    </row>
    <row r="147" spans="2:3" outlineLevel="1">
      <c r="B147" s="184" t="s">
        <v>1293</v>
      </c>
      <c r="C147">
        <f>SUBTOTAL(3,C146:C146)</f>
        <v>1</v>
      </c>
    </row>
    <row r="148" spans="2:3" outlineLevel="2">
      <c r="B148">
        <v>87</v>
      </c>
      <c r="C148" t="s">
        <v>1126</v>
      </c>
    </row>
    <row r="149" spans="2:3" outlineLevel="1">
      <c r="B149" s="184" t="s">
        <v>1286</v>
      </c>
      <c r="C149">
        <f>SUBTOTAL(3,C148:C148)</f>
        <v>1</v>
      </c>
    </row>
    <row r="150" spans="2:3" outlineLevel="2">
      <c r="B150">
        <v>88</v>
      </c>
      <c r="C150" t="s">
        <v>1160</v>
      </c>
    </row>
    <row r="151" spans="2:3" outlineLevel="1">
      <c r="B151" s="184" t="s">
        <v>1294</v>
      </c>
      <c r="C151">
        <f>SUBTOTAL(3,C150:C150)</f>
        <v>1</v>
      </c>
    </row>
    <row r="152" spans="2:3" outlineLevel="2">
      <c r="B152">
        <v>89</v>
      </c>
      <c r="C152" t="s">
        <v>1162</v>
      </c>
    </row>
    <row r="153" spans="2:3" outlineLevel="1">
      <c r="B153" s="184" t="s">
        <v>1295</v>
      </c>
      <c r="C153">
        <f>SUBTOTAL(3,C152:C152)</f>
        <v>1</v>
      </c>
    </row>
    <row r="154" spans="2:3" outlineLevel="2">
      <c r="B154">
        <v>90</v>
      </c>
      <c r="C154" t="s">
        <v>1164</v>
      </c>
    </row>
    <row r="155" spans="2:3" outlineLevel="1">
      <c r="B155" s="184" t="s">
        <v>1296</v>
      </c>
      <c r="C155">
        <f>SUBTOTAL(3,C154:C154)</f>
        <v>1</v>
      </c>
    </row>
    <row r="156" spans="2:3" outlineLevel="2">
      <c r="B156">
        <v>91</v>
      </c>
      <c r="C156" t="s">
        <v>1167</v>
      </c>
    </row>
    <row r="157" spans="2:3" outlineLevel="1">
      <c r="B157" s="184" t="s">
        <v>1297</v>
      </c>
      <c r="C157">
        <f>SUBTOTAL(3,C156:C156)</f>
        <v>1</v>
      </c>
    </row>
    <row r="158" spans="2:3" outlineLevel="2">
      <c r="B158">
        <v>92</v>
      </c>
      <c r="C158" t="s">
        <v>1170</v>
      </c>
    </row>
    <row r="159" spans="2:3" outlineLevel="1">
      <c r="B159" s="184" t="s">
        <v>1298</v>
      </c>
      <c r="C159">
        <f>SUBTOTAL(3,C158:C158)</f>
        <v>1</v>
      </c>
    </row>
    <row r="160" spans="2:3" outlineLevel="2">
      <c r="B160">
        <v>93</v>
      </c>
      <c r="C160" t="s">
        <v>1174</v>
      </c>
    </row>
    <row r="161" spans="2:3" outlineLevel="1">
      <c r="B161" s="184" t="s">
        <v>1299</v>
      </c>
      <c r="C161">
        <f>SUBTOTAL(3,C160:C160)</f>
        <v>1</v>
      </c>
    </row>
    <row r="162" spans="2:3" outlineLevel="2">
      <c r="B162">
        <v>94</v>
      </c>
      <c r="C162" t="s">
        <v>1176</v>
      </c>
    </row>
    <row r="163" spans="2:3" outlineLevel="1">
      <c r="B163" s="184" t="s">
        <v>1300</v>
      </c>
      <c r="C163">
        <f>SUBTOTAL(3,C162:C162)</f>
        <v>1</v>
      </c>
    </row>
    <row r="164" spans="2:3" outlineLevel="2">
      <c r="B164">
        <v>95</v>
      </c>
      <c r="C164" t="s">
        <v>153</v>
      </c>
    </row>
    <row r="165" spans="2:3" outlineLevel="1">
      <c r="B165" s="184" t="s">
        <v>1301</v>
      </c>
      <c r="C165">
        <f>SUBTOTAL(3,C164:C164)</f>
        <v>1</v>
      </c>
    </row>
    <row r="166" spans="2:3" outlineLevel="2">
      <c r="B166">
        <v>96</v>
      </c>
      <c r="C166" t="s">
        <v>1180</v>
      </c>
    </row>
    <row r="167" spans="2:3" outlineLevel="1">
      <c r="B167" s="184" t="s">
        <v>1302</v>
      </c>
      <c r="C167">
        <f>SUBTOTAL(3,C166:C166)</f>
        <v>1</v>
      </c>
    </row>
    <row r="168" spans="2:3" outlineLevel="2">
      <c r="B168">
        <v>97</v>
      </c>
      <c r="C168" t="s">
        <v>1182</v>
      </c>
    </row>
    <row r="169" spans="2:3" outlineLevel="1">
      <c r="B169" s="184" t="s">
        <v>1303</v>
      </c>
      <c r="C169">
        <f>SUBTOTAL(3,C168:C168)</f>
        <v>1</v>
      </c>
    </row>
    <row r="170" spans="2:3" outlineLevel="2">
      <c r="B170">
        <v>98</v>
      </c>
      <c r="C170" t="s">
        <v>1184</v>
      </c>
    </row>
    <row r="171" spans="2:3" outlineLevel="1">
      <c r="B171" s="184" t="s">
        <v>1304</v>
      </c>
      <c r="C171">
        <f>SUBTOTAL(3,C170:C170)</f>
        <v>1</v>
      </c>
    </row>
    <row r="172" spans="2:3" outlineLevel="2">
      <c r="B172">
        <v>99</v>
      </c>
      <c r="C172" t="s">
        <v>1180</v>
      </c>
    </row>
    <row r="173" spans="2:3" outlineLevel="1">
      <c r="B173" s="184" t="s">
        <v>1302</v>
      </c>
      <c r="C173">
        <f>SUBTOTAL(3,C172:C172)</f>
        <v>1</v>
      </c>
    </row>
    <row r="174" spans="2:3" outlineLevel="2">
      <c r="B174">
        <v>100</v>
      </c>
      <c r="C174" t="s">
        <v>1189</v>
      </c>
    </row>
    <row r="175" spans="2:3" outlineLevel="1">
      <c r="B175" s="184" t="s">
        <v>1305</v>
      </c>
      <c r="C175">
        <f>SUBTOTAL(3,C174:C174)</f>
        <v>1</v>
      </c>
    </row>
    <row r="176" spans="2:3" outlineLevel="2">
      <c r="B176">
        <v>101</v>
      </c>
      <c r="C176" t="s">
        <v>1192</v>
      </c>
    </row>
    <row r="177" spans="2:3" outlineLevel="1">
      <c r="B177" s="184" t="s">
        <v>1306</v>
      </c>
      <c r="C177">
        <f>SUBTOTAL(3,C176:C176)</f>
        <v>1</v>
      </c>
    </row>
    <row r="178" spans="2:3" outlineLevel="2">
      <c r="B178">
        <v>102</v>
      </c>
      <c r="C178" t="s">
        <v>1195</v>
      </c>
    </row>
    <row r="179" spans="2:3" outlineLevel="1">
      <c r="B179" s="184" t="s">
        <v>1307</v>
      </c>
      <c r="C179">
        <f>SUBTOTAL(3,C178:C178)</f>
        <v>1</v>
      </c>
    </row>
    <row r="180" spans="2:3" outlineLevel="2">
      <c r="B180">
        <v>103</v>
      </c>
      <c r="C180" t="s">
        <v>151</v>
      </c>
    </row>
    <row r="181" spans="2:3" outlineLevel="1">
      <c r="B181" s="184" t="s">
        <v>830</v>
      </c>
      <c r="C181">
        <f>SUBTOTAL(3,C180:C180)</f>
        <v>1</v>
      </c>
    </row>
    <row r="182" spans="2:3" outlineLevel="2">
      <c r="B182">
        <v>104</v>
      </c>
      <c r="C182" t="s">
        <v>689</v>
      </c>
    </row>
    <row r="183" spans="2:3" outlineLevel="1">
      <c r="B183" s="184" t="s">
        <v>831</v>
      </c>
      <c r="C183">
        <f>SUBTOTAL(3,C182:C182)</f>
        <v>1</v>
      </c>
    </row>
    <row r="184" spans="2:3" outlineLevel="2">
      <c r="B184">
        <v>105</v>
      </c>
      <c r="C184" t="s">
        <v>719</v>
      </c>
    </row>
    <row r="185" spans="2:3" outlineLevel="1">
      <c r="B185" s="184" t="s">
        <v>840</v>
      </c>
      <c r="C185">
        <f>SUBTOTAL(3,C184:C184)</f>
        <v>1</v>
      </c>
    </row>
    <row r="186" spans="2:3" outlineLevel="2">
      <c r="B186">
        <v>106</v>
      </c>
      <c r="C186" t="s">
        <v>147</v>
      </c>
    </row>
    <row r="187" spans="2:3" outlineLevel="1">
      <c r="B187" s="184" t="s">
        <v>1308</v>
      </c>
      <c r="C187">
        <f>SUBTOTAL(3,C186:C186)</f>
        <v>1</v>
      </c>
    </row>
    <row r="188" spans="2:3" outlineLevel="2">
      <c r="B188">
        <v>107</v>
      </c>
      <c r="C188" t="s">
        <v>153</v>
      </c>
    </row>
    <row r="189" spans="2:3" outlineLevel="2">
      <c r="B189">
        <v>108</v>
      </c>
      <c r="C189" t="s">
        <v>153</v>
      </c>
    </row>
    <row r="190" spans="2:3" outlineLevel="1">
      <c r="B190" s="184" t="s">
        <v>1301</v>
      </c>
      <c r="C190">
        <f>SUBTOTAL(3,C188:C189)</f>
        <v>2</v>
      </c>
    </row>
    <row r="191" spans="2:3" outlineLevel="2">
      <c r="B191">
        <v>109</v>
      </c>
      <c r="C191" t="s">
        <v>149</v>
      </c>
    </row>
    <row r="192" spans="2:3" outlineLevel="1">
      <c r="B192" s="184" t="s">
        <v>1309</v>
      </c>
      <c r="C192">
        <f>SUBTOTAL(3,C191:C191)</f>
        <v>1</v>
      </c>
    </row>
    <row r="193" spans="2:3" outlineLevel="2">
      <c r="B193">
        <v>110</v>
      </c>
      <c r="C193" t="s">
        <v>151</v>
      </c>
    </row>
    <row r="194" spans="2:3" outlineLevel="1">
      <c r="B194" s="184" t="s">
        <v>830</v>
      </c>
      <c r="C194">
        <f>SUBTOTAL(3,C193:C193)</f>
        <v>1</v>
      </c>
    </row>
    <row r="195" spans="2:3" outlineLevel="2">
      <c r="B195">
        <v>111</v>
      </c>
      <c r="C195" t="s">
        <v>153</v>
      </c>
    </row>
    <row r="196" spans="2:3" outlineLevel="1">
      <c r="B196" s="184" t="s">
        <v>1301</v>
      </c>
      <c r="C196">
        <f>SUBTOTAL(3,C195:C195)</f>
        <v>1</v>
      </c>
    </row>
    <row r="197" spans="2:3" outlineLevel="2">
      <c r="B197">
        <v>112</v>
      </c>
      <c r="C197" t="s">
        <v>188</v>
      </c>
    </row>
    <row r="198" spans="2:3" outlineLevel="1">
      <c r="B198" s="184" t="s">
        <v>1310</v>
      </c>
      <c r="C198">
        <f>SUBTOTAL(3,C197:C197)</f>
        <v>1</v>
      </c>
    </row>
    <row r="199" spans="2:3" outlineLevel="2">
      <c r="B199">
        <v>113</v>
      </c>
      <c r="C199" t="s">
        <v>112</v>
      </c>
    </row>
    <row r="200" spans="2:3" outlineLevel="2">
      <c r="B200">
        <v>114</v>
      </c>
      <c r="C200" t="s">
        <v>112</v>
      </c>
    </row>
    <row r="201" spans="2:3" outlineLevel="1">
      <c r="B201" s="184" t="s">
        <v>1280</v>
      </c>
      <c r="C201">
        <f>SUBTOTAL(3,C199:C200)</f>
        <v>2</v>
      </c>
    </row>
    <row r="202" spans="2:3" outlineLevel="2">
      <c r="B202">
        <v>115</v>
      </c>
      <c r="C202" t="s">
        <v>143</v>
      </c>
    </row>
    <row r="203" spans="2:3" outlineLevel="2">
      <c r="B203">
        <v>116</v>
      </c>
      <c r="C203" t="s">
        <v>143</v>
      </c>
    </row>
    <row r="204" spans="2:3" outlineLevel="2">
      <c r="B204">
        <v>117</v>
      </c>
      <c r="C204" t="s">
        <v>143</v>
      </c>
    </row>
    <row r="205" spans="2:3" outlineLevel="1">
      <c r="B205" s="184" t="s">
        <v>1311</v>
      </c>
      <c r="C205">
        <f>SUBTOTAL(3,C202:C204)</f>
        <v>3</v>
      </c>
    </row>
    <row r="206" spans="2:3" outlineLevel="2">
      <c r="B206">
        <v>118</v>
      </c>
      <c r="C206" t="s">
        <v>1213</v>
      </c>
    </row>
    <row r="207" spans="2:3" outlineLevel="1">
      <c r="B207" s="184" t="s">
        <v>1312</v>
      </c>
      <c r="C207">
        <f>SUBTOTAL(3,C206:C206)</f>
        <v>1</v>
      </c>
    </row>
    <row r="208" spans="2:3" outlineLevel="2">
      <c r="B208">
        <v>119</v>
      </c>
      <c r="C208" t="s">
        <v>1215</v>
      </c>
    </row>
    <row r="209" spans="2:3" outlineLevel="1">
      <c r="B209" s="184" t="s">
        <v>1313</v>
      </c>
      <c r="C209">
        <f>SUBTOTAL(3,C208:C208)</f>
        <v>1</v>
      </c>
    </row>
    <row r="210" spans="2:3" outlineLevel="2">
      <c r="B210">
        <v>120</v>
      </c>
      <c r="C210" t="s">
        <v>1217</v>
      </c>
    </row>
    <row r="211" spans="2:3" outlineLevel="1">
      <c r="B211" s="184" t="s">
        <v>1314</v>
      </c>
      <c r="C211">
        <f>SUBTOTAL(3,C210:C210)</f>
        <v>1</v>
      </c>
    </row>
    <row r="212" spans="2:3">
      <c r="B212" s="184" t="s">
        <v>848</v>
      </c>
      <c r="C212">
        <f>SUBTOTAL(3,C3:C210)</f>
        <v>119</v>
      </c>
    </row>
  </sheetData>
  <sortState ref="B3:C211">
    <sortCondition ref="B3:B2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C2:C208"/>
  <sheetViews>
    <sheetView workbookViewId="0">
      <selection activeCell="C2" sqref="C2:C206"/>
    </sheetView>
  </sheetViews>
  <sheetFormatPr defaultRowHeight="15"/>
  <cols>
    <col min="3" max="3" width="46.7109375" bestFit="1" customWidth="1"/>
  </cols>
  <sheetData>
    <row r="2" spans="3:3">
      <c r="C2" s="197" t="s">
        <v>815</v>
      </c>
    </row>
    <row r="3" spans="3:3">
      <c r="C3" s="184" t="s">
        <v>1249</v>
      </c>
    </row>
    <row r="4" spans="3:3" hidden="1"/>
    <row r="5" spans="3:3" hidden="1"/>
    <row r="6" spans="3:3">
      <c r="C6" s="184" t="s">
        <v>1250</v>
      </c>
    </row>
    <row r="7" spans="3:3" hidden="1"/>
    <row r="8" spans="3:3">
      <c r="C8" s="184" t="s">
        <v>1251</v>
      </c>
    </row>
    <row r="9" spans="3:3" hidden="1"/>
    <row r="10" spans="3:3">
      <c r="C10" s="184" t="s">
        <v>1252</v>
      </c>
    </row>
    <row r="11" spans="3:3" hidden="1"/>
    <row r="12" spans="3:3" hidden="1"/>
    <row r="13" spans="3:3">
      <c r="C13" s="184" t="s">
        <v>1253</v>
      </c>
    </row>
    <row r="14" spans="3:3" hidden="1"/>
    <row r="15" spans="3:3">
      <c r="C15" s="184" t="s">
        <v>1254</v>
      </c>
    </row>
    <row r="16" spans="3:3" hidden="1"/>
    <row r="17" spans="3:3">
      <c r="C17" s="184" t="s">
        <v>1255</v>
      </c>
    </row>
    <row r="18" spans="3:3" hidden="1"/>
    <row r="19" spans="3:3">
      <c r="C19" s="184" t="s">
        <v>1256</v>
      </c>
    </row>
    <row r="20" spans="3:3" hidden="1"/>
    <row r="21" spans="3:3">
      <c r="C21" s="184" t="s">
        <v>1257</v>
      </c>
    </row>
    <row r="22" spans="3:3" hidden="1"/>
    <row r="23" spans="3:3">
      <c r="C23" s="184" t="s">
        <v>1258</v>
      </c>
    </row>
    <row r="24" spans="3:3" hidden="1"/>
    <row r="25" spans="3:3">
      <c r="C25" s="184" t="s">
        <v>1259</v>
      </c>
    </row>
    <row r="26" spans="3:3" hidden="1"/>
    <row r="27" spans="3:3">
      <c r="C27" s="184" t="s">
        <v>1260</v>
      </c>
    </row>
    <row r="28" spans="3:3" hidden="1"/>
    <row r="29" spans="3:3">
      <c r="C29" s="184" t="s">
        <v>1261</v>
      </c>
    </row>
    <row r="30" spans="3:3" hidden="1"/>
    <row r="31" spans="3:3">
      <c r="C31" s="184" t="s">
        <v>1262</v>
      </c>
    </row>
    <row r="32" spans="3:3" hidden="1"/>
    <row r="33" spans="3:3">
      <c r="C33" s="184" t="s">
        <v>1261</v>
      </c>
    </row>
    <row r="34" spans="3:3" hidden="1"/>
    <row r="35" spans="3:3">
      <c r="C35" s="184" t="s">
        <v>1263</v>
      </c>
    </row>
    <row r="36" spans="3:3" hidden="1"/>
    <row r="37" spans="3:3">
      <c r="C37" s="184" t="s">
        <v>1262</v>
      </c>
    </row>
    <row r="38" spans="3:3" hidden="1"/>
    <row r="39" spans="3:3" hidden="1"/>
    <row r="40" spans="3:3">
      <c r="C40" s="184" t="s">
        <v>1264</v>
      </c>
    </row>
    <row r="41" spans="3:3" hidden="1"/>
    <row r="42" spans="3:3" hidden="1"/>
    <row r="43" spans="3:3">
      <c r="C43" s="184" t="s">
        <v>1265</v>
      </c>
    </row>
    <row r="44" spans="3:3" hidden="1"/>
    <row r="45" spans="3:3" hidden="1"/>
    <row r="46" spans="3:3">
      <c r="C46" s="184" t="s">
        <v>1266</v>
      </c>
    </row>
    <row r="47" spans="3:3" hidden="1"/>
    <row r="48" spans="3:3" hidden="1"/>
    <row r="49" spans="3:3" hidden="1"/>
    <row r="50" spans="3:3" hidden="1"/>
    <row r="51" spans="3:3" hidden="1"/>
    <row r="52" spans="3:3">
      <c r="C52" s="184" t="s">
        <v>1267</v>
      </c>
    </row>
    <row r="53" spans="3:3" hidden="1"/>
    <row r="54" spans="3:3">
      <c r="C54" s="184" t="s">
        <v>1268</v>
      </c>
    </row>
    <row r="55" spans="3:3" hidden="1"/>
    <row r="56" spans="3:3">
      <c r="C56" s="184" t="s">
        <v>1269</v>
      </c>
    </row>
    <row r="57" spans="3:3" hidden="1"/>
    <row r="58" spans="3:3" hidden="1"/>
    <row r="59" spans="3:3" hidden="1"/>
    <row r="60" spans="3:3">
      <c r="C60" s="184" t="s">
        <v>1270</v>
      </c>
    </row>
    <row r="61" spans="3:3" hidden="1"/>
    <row r="62" spans="3:3">
      <c r="C62" s="184" t="s">
        <v>1267</v>
      </c>
    </row>
    <row r="63" spans="3:3" hidden="1"/>
    <row r="64" spans="3:3" hidden="1"/>
    <row r="65" spans="3:3">
      <c r="C65" s="184" t="s">
        <v>785</v>
      </c>
    </row>
    <row r="66" spans="3:3" hidden="1"/>
    <row r="67" spans="3:3">
      <c r="C67" s="184" t="s">
        <v>786</v>
      </c>
    </row>
    <row r="68" spans="3:3" hidden="1"/>
    <row r="69" spans="3:3" hidden="1"/>
    <row r="70" spans="3:3" hidden="1"/>
    <row r="71" spans="3:3" hidden="1"/>
    <row r="72" spans="3:3" hidden="1"/>
    <row r="73" spans="3:3" hidden="1"/>
    <row r="74" spans="3:3" hidden="1"/>
    <row r="75" spans="3:3">
      <c r="C75" s="184" t="s">
        <v>1271</v>
      </c>
    </row>
    <row r="76" spans="3:3" hidden="1"/>
    <row r="77" spans="3:3">
      <c r="C77" s="184" t="s">
        <v>787</v>
      </c>
    </row>
    <row r="78" spans="3:3" hidden="1"/>
    <row r="79" spans="3:3" hidden="1"/>
    <row r="80" spans="3:3">
      <c r="C80" s="184" t="s">
        <v>788</v>
      </c>
    </row>
    <row r="81" spans="3:3" hidden="1"/>
    <row r="82" spans="3:3" hidden="1"/>
    <row r="83" spans="3:3" hidden="1"/>
    <row r="84" spans="3:3">
      <c r="C84" s="184" t="s">
        <v>1272</v>
      </c>
    </row>
    <row r="85" spans="3:3" hidden="1"/>
    <row r="86" spans="3:3">
      <c r="C86" s="184" t="s">
        <v>1273</v>
      </c>
    </row>
    <row r="87" spans="3:3" hidden="1"/>
    <row r="88" spans="3:3">
      <c r="C88" s="184" t="s">
        <v>1274</v>
      </c>
    </row>
    <row r="89" spans="3:3" hidden="1"/>
    <row r="90" spans="3:3">
      <c r="C90" s="184" t="s">
        <v>1275</v>
      </c>
    </row>
    <row r="91" spans="3:3" hidden="1"/>
    <row r="92" spans="3:3">
      <c r="C92" s="184" t="s">
        <v>1276</v>
      </c>
    </row>
    <row r="93" spans="3:3" hidden="1"/>
    <row r="94" spans="3:3">
      <c r="C94" s="184" t="s">
        <v>1277</v>
      </c>
    </row>
    <row r="95" spans="3:3" hidden="1"/>
    <row r="96" spans="3:3">
      <c r="C96" s="184" t="s">
        <v>1278</v>
      </c>
    </row>
    <row r="97" spans="3:3" hidden="1"/>
    <row r="98" spans="3:3">
      <c r="C98" s="184" t="s">
        <v>1279</v>
      </c>
    </row>
    <row r="99" spans="3:3" hidden="1"/>
    <row r="100" spans="3:3">
      <c r="C100" s="184" t="s">
        <v>782</v>
      </c>
    </row>
    <row r="101" spans="3:3" hidden="1"/>
    <row r="102" spans="3:3">
      <c r="C102" s="184" t="s">
        <v>1280</v>
      </c>
    </row>
    <row r="103" spans="3:3" hidden="1"/>
    <row r="104" spans="3:3">
      <c r="C104" s="184" t="s">
        <v>1281</v>
      </c>
    </row>
    <row r="105" spans="3:3" hidden="1"/>
    <row r="106" spans="3:3">
      <c r="C106" s="184" t="s">
        <v>1282</v>
      </c>
    </row>
    <row r="107" spans="3:3" hidden="1"/>
    <row r="108" spans="3:3">
      <c r="C108" s="184" t="s">
        <v>1283</v>
      </c>
    </row>
    <row r="109" spans="3:3" hidden="1"/>
    <row r="110" spans="3:3">
      <c r="C110" s="184" t="s">
        <v>1280</v>
      </c>
    </row>
    <row r="111" spans="3:3" hidden="1"/>
    <row r="112" spans="3:3">
      <c r="C112" s="184" t="s">
        <v>1284</v>
      </c>
    </row>
    <row r="113" spans="3:3" hidden="1"/>
    <row r="114" spans="3:3" hidden="1"/>
    <row r="115" spans="3:3">
      <c r="C115" s="184" t="s">
        <v>1285</v>
      </c>
    </row>
    <row r="116" spans="3:3" hidden="1"/>
    <row r="117" spans="3:3">
      <c r="C117" s="184" t="s">
        <v>1286</v>
      </c>
    </row>
    <row r="118" spans="3:3" hidden="1"/>
    <row r="119" spans="3:3">
      <c r="C119" s="184" t="s">
        <v>1287</v>
      </c>
    </row>
    <row r="120" spans="3:3" hidden="1"/>
    <row r="121" spans="3:3">
      <c r="C121" s="184" t="s">
        <v>1288</v>
      </c>
    </row>
    <row r="122" spans="3:3" hidden="1"/>
    <row r="123" spans="3:3">
      <c r="C123" s="184" t="s">
        <v>1284</v>
      </c>
    </row>
    <row r="124" spans="3:3" hidden="1"/>
    <row r="125" spans="3:3">
      <c r="C125" s="184" t="s">
        <v>1286</v>
      </c>
    </row>
    <row r="126" spans="3:3" hidden="1"/>
    <row r="127" spans="3:3" hidden="1"/>
    <row r="128" spans="3:3" hidden="1"/>
    <row r="129" spans="3:3" hidden="1"/>
    <row r="130" spans="3:3">
      <c r="C130" s="184" t="s">
        <v>786</v>
      </c>
    </row>
    <row r="131" spans="3:3" hidden="1"/>
    <row r="132" spans="3:3">
      <c r="C132" s="184" t="s">
        <v>1289</v>
      </c>
    </row>
    <row r="133" spans="3:3" hidden="1"/>
    <row r="134" spans="3:3">
      <c r="C134" s="184" t="s">
        <v>1290</v>
      </c>
    </row>
    <row r="135" spans="3:3" hidden="1"/>
    <row r="136" spans="3:3">
      <c r="C136" s="184" t="s">
        <v>1291</v>
      </c>
    </row>
    <row r="137" spans="3:3" hidden="1"/>
    <row r="138" spans="3:3">
      <c r="C138" s="184" t="s">
        <v>1266</v>
      </c>
    </row>
    <row r="139" spans="3:3" hidden="1"/>
    <row r="140" spans="3:3">
      <c r="C140" s="184" t="s">
        <v>1292</v>
      </c>
    </row>
    <row r="141" spans="3:3" hidden="1"/>
    <row r="142" spans="3:3">
      <c r="C142" s="184" t="s">
        <v>1293</v>
      </c>
    </row>
    <row r="143" spans="3:3" hidden="1"/>
    <row r="144" spans="3:3">
      <c r="C144" s="184" t="s">
        <v>1286</v>
      </c>
    </row>
    <row r="145" spans="3:3" hidden="1"/>
    <row r="146" spans="3:3">
      <c r="C146" s="184" t="s">
        <v>1294</v>
      </c>
    </row>
    <row r="147" spans="3:3" hidden="1"/>
    <row r="148" spans="3:3">
      <c r="C148" s="184" t="s">
        <v>1295</v>
      </c>
    </row>
    <row r="149" spans="3:3" hidden="1"/>
    <row r="150" spans="3:3">
      <c r="C150" s="184" t="s">
        <v>1296</v>
      </c>
    </row>
    <row r="151" spans="3:3" hidden="1"/>
    <row r="152" spans="3:3">
      <c r="C152" s="184" t="s">
        <v>1297</v>
      </c>
    </row>
    <row r="153" spans="3:3" hidden="1"/>
    <row r="154" spans="3:3">
      <c r="C154" s="184" t="s">
        <v>1298</v>
      </c>
    </row>
    <row r="155" spans="3:3" hidden="1"/>
    <row r="156" spans="3:3">
      <c r="C156" s="184" t="s">
        <v>1299</v>
      </c>
    </row>
    <row r="157" spans="3:3" hidden="1"/>
    <row r="158" spans="3:3">
      <c r="C158" s="184" t="s">
        <v>1300</v>
      </c>
    </row>
    <row r="159" spans="3:3" hidden="1"/>
    <row r="160" spans="3:3">
      <c r="C160" s="184" t="s">
        <v>1301</v>
      </c>
    </row>
    <row r="161" spans="3:3" hidden="1"/>
    <row r="162" spans="3:3">
      <c r="C162" s="184" t="s">
        <v>1302</v>
      </c>
    </row>
    <row r="163" spans="3:3" hidden="1"/>
    <row r="164" spans="3:3">
      <c r="C164" s="184" t="s">
        <v>1303</v>
      </c>
    </row>
    <row r="165" spans="3:3" hidden="1"/>
    <row r="166" spans="3:3">
      <c r="C166" s="184" t="s">
        <v>1304</v>
      </c>
    </row>
    <row r="167" spans="3:3" hidden="1"/>
    <row r="168" spans="3:3">
      <c r="C168" s="184" t="s">
        <v>1302</v>
      </c>
    </row>
    <row r="169" spans="3:3" hidden="1"/>
    <row r="170" spans="3:3">
      <c r="C170" s="184" t="s">
        <v>1305</v>
      </c>
    </row>
    <row r="171" spans="3:3" hidden="1"/>
    <row r="172" spans="3:3">
      <c r="C172" s="184" t="s">
        <v>1306</v>
      </c>
    </row>
    <row r="173" spans="3:3" hidden="1"/>
    <row r="174" spans="3:3">
      <c r="C174" s="184" t="s">
        <v>1307</v>
      </c>
    </row>
    <row r="175" spans="3:3" hidden="1"/>
    <row r="176" spans="3:3">
      <c r="C176" s="184" t="s">
        <v>830</v>
      </c>
    </row>
    <row r="177" spans="3:3" hidden="1"/>
    <row r="178" spans="3:3">
      <c r="C178" s="184" t="s">
        <v>831</v>
      </c>
    </row>
    <row r="179" spans="3:3" hidden="1"/>
    <row r="180" spans="3:3">
      <c r="C180" s="184" t="s">
        <v>840</v>
      </c>
    </row>
    <row r="181" spans="3:3" hidden="1"/>
    <row r="182" spans="3:3">
      <c r="C182" s="184" t="s">
        <v>1308</v>
      </c>
    </row>
    <row r="183" spans="3:3" hidden="1"/>
    <row r="184" spans="3:3" hidden="1"/>
    <row r="185" spans="3:3">
      <c r="C185" s="184" t="s">
        <v>1301</v>
      </c>
    </row>
    <row r="186" spans="3:3" hidden="1"/>
    <row r="187" spans="3:3">
      <c r="C187" s="184" t="s">
        <v>1309</v>
      </c>
    </row>
    <row r="188" spans="3:3" hidden="1"/>
    <row r="189" spans="3:3">
      <c r="C189" s="184" t="s">
        <v>830</v>
      </c>
    </row>
    <row r="190" spans="3:3" hidden="1"/>
    <row r="191" spans="3:3">
      <c r="C191" s="184" t="s">
        <v>1301</v>
      </c>
    </row>
    <row r="192" spans="3:3" hidden="1"/>
    <row r="193" spans="3:3">
      <c r="C193" s="184" t="s">
        <v>1310</v>
      </c>
    </row>
    <row r="194" spans="3:3" hidden="1"/>
    <row r="195" spans="3:3" hidden="1"/>
    <row r="196" spans="3:3">
      <c r="C196" s="184" t="s">
        <v>1280</v>
      </c>
    </row>
    <row r="197" spans="3:3" hidden="1"/>
    <row r="198" spans="3:3" hidden="1"/>
    <row r="199" spans="3:3" hidden="1"/>
    <row r="200" spans="3:3">
      <c r="C200" s="184" t="s">
        <v>1311</v>
      </c>
    </row>
    <row r="201" spans="3:3" hidden="1"/>
    <row r="202" spans="3:3">
      <c r="C202" s="184" t="s">
        <v>1312</v>
      </c>
    </row>
    <row r="203" spans="3:3" hidden="1"/>
    <row r="204" spans="3:3">
      <c r="C204" s="184" t="s">
        <v>1313</v>
      </c>
    </row>
    <row r="205" spans="3:3" hidden="1"/>
    <row r="206" spans="3:3">
      <c r="C206" s="184" t="s">
        <v>1314</v>
      </c>
    </row>
    <row r="207" spans="3:3" hidden="1">
      <c r="C207" s="184"/>
    </row>
    <row r="208" spans="3:3" hidden="1"/>
  </sheetData>
  <autoFilter ref="C2:C208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Sheet20</vt:lpstr>
      <vt:lpstr>Final Company tbl</vt:lpstr>
      <vt:lpstr>Term Loan tbl</vt:lpstr>
      <vt:lpstr>Term Loan</vt:lpstr>
      <vt:lpstr>ID Cal Sheet</vt:lpstr>
      <vt:lpstr>Demand Loan</vt:lpstr>
      <vt:lpstr>Sheet23</vt:lpstr>
      <vt:lpstr>Demand Loan wrong</vt:lpstr>
      <vt:lpstr>Sheet25</vt:lpstr>
      <vt:lpstr>Sheet19</vt:lpstr>
      <vt:lpstr>Sheet21</vt:lpstr>
      <vt:lpstr>Sheet22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2025-01-28T05:38:53Z</dcterms:created>
  <dcterms:modified xsi:type="dcterms:W3CDTF">2025-02-13T11:29:28Z</dcterms:modified>
</cp:coreProperties>
</file>