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is\Desktop\"/>
    </mc:Choice>
  </mc:AlternateContent>
  <bookViews>
    <workbookView xWindow="0" yWindow="0" windowWidth="10000" windowHeight="6520" firstSheet="4" activeTab="6"/>
  </bookViews>
  <sheets>
    <sheet name="Base case" sheetId="4" r:id="rId1"/>
    <sheet name="Optimization" sheetId="5" r:id="rId2"/>
    <sheet name="Optimization (2)" sheetId="6" r:id="rId3"/>
    <sheet name="Optimization sensitivity" sheetId="7" r:id="rId4"/>
    <sheet name="Analysis Report" sheetId="8" r:id="rId5"/>
    <sheet name="Simulation" sheetId="9" r:id="rId6"/>
    <sheet name="Simulation Analysis" sheetId="10" r:id="rId7"/>
  </sheets>
  <definedNames>
    <definedName name="solver_adj" localSheetId="1" hidden="1">Optimization!$C$37:$G$37</definedName>
    <definedName name="solver_adj" localSheetId="2" hidden="1">'Optimization (2)'!$C$37:$G$37</definedName>
    <definedName name="solver_adj" localSheetId="3" hidden="1">'Optimization sensitivity'!$C$37:$G$37</definedName>
    <definedName name="solver_adj" localSheetId="5" hidden="1">Simulation!$C$37:$G$37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dj_ob" localSheetId="5" hidden="1">1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a" localSheetId="5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1" localSheetId="5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c2" localSheetId="5" hidden="1">0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n" localSheetId="5" hidden="1">4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1" localSheetId="5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p2" localSheetId="5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ht" localSheetId="5" hidden="1">0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5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2" localSheetId="5" hidden="1">1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" localSheetId="5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1" localSheetId="5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on2" localSheetId="5" hidden="1">" "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5" hidden="1">5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5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nt" localSheetId="5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5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5" hidden="1">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1" localSheetId="5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_ob2" localSheetId="5" hidden="1">0</definedName>
    <definedName name="solver_lhs1" localSheetId="1" hidden="1">Optimization!$D$37:$G$37</definedName>
    <definedName name="solver_lhs1" localSheetId="2" hidden="1">'Optimization (2)'!$D$37:$G$37</definedName>
    <definedName name="solver_lhs1" localSheetId="3" hidden="1">'Optimization sensitivity'!$D$37:$G$37</definedName>
    <definedName name="solver_lhs1" localSheetId="5" hidden="1">Simulation!$D$37:$G$37</definedName>
    <definedName name="solver_lhs2" localSheetId="1" hidden="1">Optimization!$C$37</definedName>
    <definedName name="solver_lhs2" localSheetId="2" hidden="1">'Optimization (2)'!$C$37</definedName>
    <definedName name="solver_lhs2" localSheetId="3" hidden="1">'Optimization sensitivity'!$C$37</definedName>
    <definedName name="solver_lhs2" localSheetId="5" hidden="1">Simulation!$C$37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da" localSheetId="5" hidden="1">4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5" hidden="1">3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pt" localSheetId="3" hidden="1">1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5" hidden="1">0</definedName>
    <definedName name="solver_ntri" hidden="1">1000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5" hidden="1">2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c" localSheetId="5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bp" localSheetId="5" hidden="1">0</definedName>
    <definedName name="solver_opt" localSheetId="1" hidden="1">Optimization!$H$41</definedName>
    <definedName name="solver_opt" localSheetId="2" hidden="1">'Optimization (2)'!$H$41</definedName>
    <definedName name="solver_opt" localSheetId="3" hidden="1">'Optimization sensitivity'!$H$41</definedName>
    <definedName name="solver_opt" localSheetId="5" hidden="1">Simulation!$H$41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opt_ob" localSheetId="5" hidden="1">1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psi" localSheetId="5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5" hidden="1">0</definedName>
    <definedName name="solver_reco1" localSheetId="1" hidden="1">0</definedName>
    <definedName name="solver_reco1" localSheetId="2" hidden="1">0</definedName>
    <definedName name="solver_reco1" localSheetId="3" hidden="1">0</definedName>
    <definedName name="solver_reco1" localSheetId="5" hidden="1">0</definedName>
    <definedName name="solver_reco2" localSheetId="1" hidden="1">0</definedName>
    <definedName name="solver_reco2" localSheetId="2" hidden="1">0</definedName>
    <definedName name="solver_reco2" localSheetId="3" hidden="1">0</definedName>
    <definedName name="solver_reco2" localSheetId="5" hidden="1">0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5" hidden="1">1</definedName>
    <definedName name="solver_rhs1" localSheetId="1" hidden="1">Optimization!$C$43:$F$43</definedName>
    <definedName name="solver_rhs1" localSheetId="2" hidden="1">'Optimization (2)'!$C$43:$F$43</definedName>
    <definedName name="solver_rhs1" localSheetId="3" hidden="1">'Optimization sensitivity'!$C$43:$F$43</definedName>
    <definedName name="solver_rhs1" localSheetId="5" hidden="1">Simulation!$C$43:$F$43</definedName>
    <definedName name="solver_rhs2" localSheetId="1" hidden="1">100000</definedName>
    <definedName name="solver_rhs2" localSheetId="2" hidden="1">100000</definedName>
    <definedName name="solver_rhs2" localSheetId="3" hidden="1">100000</definedName>
    <definedName name="solver_rhs2" localSheetId="5" hidden="1">100000</definedName>
    <definedName name="solver_rlx" localSheetId="1" hidden="1">0</definedName>
    <definedName name="solver_rlx" localSheetId="2" hidden="1">0</definedName>
    <definedName name="solver_rlx" localSheetId="3" hidden="1">0</definedName>
    <definedName name="solver_rlx" localSheetId="5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5" hidden="1">0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1" localSheetId="5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c2" localSheetId="5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rxv" localSheetId="5" hidden="1">1</definedName>
    <definedName name="solver_seed" hidden="1">0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5" hidden="1">1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" localSheetId="5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lvu" localSheetId="5" hidden="1">0</definedName>
    <definedName name="solver_spid" localSheetId="1" hidden="1">" "</definedName>
    <definedName name="solver_spid" localSheetId="2" hidden="1">" "</definedName>
    <definedName name="solver_spid" localSheetId="3" hidden="1">" "</definedName>
    <definedName name="solver_spid" localSheetId="5" hidden="1">" "</definedName>
    <definedName name="solver_srvr" localSheetId="1" hidden="1">" "</definedName>
    <definedName name="solver_srvr" localSheetId="2" hidden="1">" "</definedName>
    <definedName name="solver_srvr" localSheetId="3" hidden="1">" "</definedName>
    <definedName name="solver_srvr" localSheetId="5" hidden="1">" "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mod" localSheetId="5" hidden="1">1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urs" localSheetId="5" hidden="1">0</definedName>
    <definedName name="solver_userid" localSheetId="1" hidden="1">243318</definedName>
    <definedName name="solver_userid" localSheetId="2" hidden="1">243318</definedName>
    <definedName name="solver_userid" localSheetId="3" hidden="1">243318</definedName>
    <definedName name="solver_userid" localSheetId="5" hidden="1">243318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ar" localSheetId="5" hidden="1">" "</definedName>
    <definedName name="solver_ver" localSheetId="0" hidden="1">16</definedName>
    <definedName name="solver_ver" localSheetId="1" hidden="1">16</definedName>
    <definedName name="solver_ver" localSheetId="2" hidden="1">16</definedName>
    <definedName name="solver_ver" localSheetId="3" hidden="1">16</definedName>
    <definedName name="solver_ver" localSheetId="5" hidden="1">16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5" hidden="1">1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ol" localSheetId="5" hidden="1">0</definedName>
    <definedName name="solver_vst" localSheetId="1" hidden="1">0</definedName>
    <definedName name="solver_vst" localSheetId="2" hidden="1">0</definedName>
    <definedName name="solver_vst" localSheetId="3" hidden="1">0</definedName>
    <definedName name="solver_vst" localSheetId="5" hidden="1">0</definedName>
    <definedName name="solvero_CRMax_H41" localSheetId="5" hidden="1">"System.Double:404.220074890321"</definedName>
    <definedName name="solvero_CRMin_H41" localSheetId="5" hidden="1">"System.Double:160.454990630023"</definedName>
    <definedName name="solvero_ISpMarker1_H41" localSheetId="5" hidden="1">"RiskSolver.UI.Charts.Marker:100;3;297.658;1;1;0;0;0;Marker 1;Marker 1"</definedName>
    <definedName name="solvero_ISpMarkers_H41" localSheetId="5" hidden="1">"RiskSolver.UI.Charts.Markers:1"</definedName>
    <definedName name="solvero_OSpPars_H41" localSheetId="5" hidden="1">"RiskSolver.UI.Charts.OutDlgPars:-1000001;15;20;70;55;0;1;90;80;0;0;0;0;1;"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9" l="1"/>
  <c r="F67" i="9"/>
  <c r="E67" i="9"/>
  <c r="D67" i="9"/>
  <c r="C67" i="9"/>
  <c r="C64" i="9"/>
  <c r="C53" i="9"/>
  <c r="D53" i="9" s="1"/>
  <c r="C52" i="9"/>
  <c r="C63" i="9" s="1"/>
  <c r="D51" i="9"/>
  <c r="D64" i="9" s="1"/>
  <c r="C51" i="9"/>
  <c r="G47" i="9"/>
  <c r="F47" i="9"/>
  <c r="E47" i="9"/>
  <c r="D47" i="9"/>
  <c r="C47" i="9"/>
  <c r="G5" i="9"/>
  <c r="G46" i="9" s="1"/>
  <c r="F5" i="9"/>
  <c r="F46" i="9" s="1"/>
  <c r="F48" i="9" s="1"/>
  <c r="E5" i="9"/>
  <c r="E46" i="9" s="1"/>
  <c r="E48" i="9" s="1"/>
  <c r="D5" i="9"/>
  <c r="D46" i="9" s="1"/>
  <c r="C5" i="9"/>
  <c r="C46" i="9" s="1"/>
  <c r="C4" i="8"/>
  <c r="C5" i="8"/>
  <c r="C6" i="8"/>
  <c r="C7" i="8"/>
  <c r="C8" i="8"/>
  <c r="C9" i="8"/>
  <c r="C10" i="8"/>
  <c r="C11" i="8"/>
  <c r="C12" i="8"/>
  <c r="C3" i="8"/>
  <c r="G71" i="7"/>
  <c r="F71" i="7"/>
  <c r="E71" i="7"/>
  <c r="D71" i="7"/>
  <c r="D70" i="7" s="1"/>
  <c r="C71" i="7"/>
  <c r="G70" i="7"/>
  <c r="F70" i="7"/>
  <c r="E70" i="7"/>
  <c r="C70" i="7"/>
  <c r="G67" i="7"/>
  <c r="F67" i="7"/>
  <c r="E67" i="7"/>
  <c r="D67" i="7"/>
  <c r="C67" i="7"/>
  <c r="C64" i="7"/>
  <c r="D58" i="7"/>
  <c r="C53" i="7"/>
  <c r="D53" i="7" s="1"/>
  <c r="C52" i="7"/>
  <c r="C63" i="7" s="1"/>
  <c r="D51" i="7"/>
  <c r="D64" i="7" s="1"/>
  <c r="C51" i="7"/>
  <c r="E50" i="7"/>
  <c r="E58" i="7" s="1"/>
  <c r="D50" i="7"/>
  <c r="C50" i="7"/>
  <c r="C58" i="7" s="1"/>
  <c r="G47" i="7"/>
  <c r="G48" i="7" s="1"/>
  <c r="G69" i="7" s="1"/>
  <c r="F47" i="7"/>
  <c r="E47" i="7"/>
  <c r="D47" i="7"/>
  <c r="C47" i="7"/>
  <c r="C48" i="7" s="1"/>
  <c r="G5" i="7"/>
  <c r="G46" i="7" s="1"/>
  <c r="F5" i="7"/>
  <c r="F46" i="7" s="1"/>
  <c r="E5" i="7"/>
  <c r="E46" i="7" s="1"/>
  <c r="D5" i="7"/>
  <c r="D46" i="7" s="1"/>
  <c r="C5" i="7"/>
  <c r="C46" i="7" s="1"/>
  <c r="G71" i="6"/>
  <c r="F71" i="6"/>
  <c r="E71" i="6"/>
  <c r="D71" i="6"/>
  <c r="D70" i="6" s="1"/>
  <c r="C71" i="6"/>
  <c r="G70" i="6"/>
  <c r="F70" i="6"/>
  <c r="E70" i="6"/>
  <c r="C70" i="6"/>
  <c r="G67" i="6"/>
  <c r="F67" i="6"/>
  <c r="E67" i="6"/>
  <c r="D67" i="6"/>
  <c r="C67" i="6"/>
  <c r="C64" i="6"/>
  <c r="D58" i="6"/>
  <c r="C53" i="6"/>
  <c r="D53" i="6" s="1"/>
  <c r="C52" i="6"/>
  <c r="C63" i="6" s="1"/>
  <c r="D51" i="6"/>
  <c r="D64" i="6" s="1"/>
  <c r="C51" i="6"/>
  <c r="E50" i="6"/>
  <c r="E58" i="6" s="1"/>
  <c r="D50" i="6"/>
  <c r="C50" i="6"/>
  <c r="C58" i="6" s="1"/>
  <c r="G47" i="6"/>
  <c r="G48" i="6" s="1"/>
  <c r="G69" i="6" s="1"/>
  <c r="F47" i="6"/>
  <c r="E47" i="6"/>
  <c r="D47" i="6"/>
  <c r="C47" i="6"/>
  <c r="C48" i="6" s="1"/>
  <c r="G5" i="6"/>
  <c r="G46" i="6" s="1"/>
  <c r="F5" i="6"/>
  <c r="F46" i="6" s="1"/>
  <c r="E5" i="6"/>
  <c r="E46" i="6" s="1"/>
  <c r="D5" i="6"/>
  <c r="D46" i="6" s="1"/>
  <c r="C5" i="6"/>
  <c r="C46" i="6" s="1"/>
  <c r="G71" i="5"/>
  <c r="G70" i="5" s="1"/>
  <c r="F71" i="5"/>
  <c r="E71" i="5"/>
  <c r="D71" i="5"/>
  <c r="D70" i="5" s="1"/>
  <c r="C71" i="5"/>
  <c r="C70" i="5" s="1"/>
  <c r="F70" i="5"/>
  <c r="E70" i="5"/>
  <c r="G67" i="5"/>
  <c r="F67" i="5"/>
  <c r="E67" i="5"/>
  <c r="D67" i="5"/>
  <c r="C67" i="5"/>
  <c r="C64" i="5"/>
  <c r="D58" i="5"/>
  <c r="C58" i="5"/>
  <c r="C53" i="5"/>
  <c r="D53" i="5" s="1"/>
  <c r="C52" i="5"/>
  <c r="C63" i="5" s="1"/>
  <c r="D51" i="5"/>
  <c r="D64" i="5" s="1"/>
  <c r="C51" i="5"/>
  <c r="E50" i="5"/>
  <c r="E58" i="5" s="1"/>
  <c r="D50" i="5"/>
  <c r="C50" i="5"/>
  <c r="G47" i="5"/>
  <c r="F47" i="5"/>
  <c r="E47" i="5"/>
  <c r="D47" i="5"/>
  <c r="C47" i="5"/>
  <c r="G5" i="5"/>
  <c r="G46" i="5" s="1"/>
  <c r="F5" i="5"/>
  <c r="F46" i="5" s="1"/>
  <c r="E5" i="5"/>
  <c r="E46" i="5" s="1"/>
  <c r="D5" i="5"/>
  <c r="D46" i="5" s="1"/>
  <c r="C5" i="5"/>
  <c r="C46" i="5" s="1"/>
  <c r="D36" i="9"/>
  <c r="E36" i="9"/>
  <c r="F36" i="9"/>
  <c r="G36" i="9"/>
  <c r="C36" i="9"/>
  <c r="C16" i="9"/>
  <c r="C23" i="7"/>
  <c r="G71" i="9" l="1"/>
  <c r="G70" i="9" s="1"/>
  <c r="G69" i="9" s="1"/>
  <c r="F71" i="9"/>
  <c r="F70" i="9" s="1"/>
  <c r="F69" i="9" s="1"/>
  <c r="E71" i="9"/>
  <c r="E70" i="9" s="1"/>
  <c r="E69" i="9" s="1"/>
  <c r="D71" i="9"/>
  <c r="D70" i="9" s="1"/>
  <c r="C71" i="9"/>
  <c r="C70" i="9" s="1"/>
  <c r="C69" i="9" s="1"/>
  <c r="C50" i="9"/>
  <c r="E53" i="9"/>
  <c r="C48" i="9"/>
  <c r="C54" i="9" s="1"/>
  <c r="C68" i="9" s="1"/>
  <c r="G48" i="9"/>
  <c r="D48" i="9"/>
  <c r="E51" i="9"/>
  <c r="D52" i="9"/>
  <c r="F48" i="7"/>
  <c r="F69" i="7" s="1"/>
  <c r="D48" i="7"/>
  <c r="D66" i="7" s="1"/>
  <c r="C66" i="7"/>
  <c r="E48" i="7"/>
  <c r="E69" i="7" s="1"/>
  <c r="C54" i="7"/>
  <c r="C68" i="7" s="1"/>
  <c r="C69" i="7"/>
  <c r="E53" i="7"/>
  <c r="F50" i="7"/>
  <c r="E51" i="7"/>
  <c r="D52" i="7"/>
  <c r="C65" i="7"/>
  <c r="F48" i="6"/>
  <c r="F69" i="6" s="1"/>
  <c r="E48" i="6"/>
  <c r="E69" i="6" s="1"/>
  <c r="C54" i="6"/>
  <c r="C68" i="6" s="1"/>
  <c r="C69" i="6"/>
  <c r="D48" i="6"/>
  <c r="D65" i="6" s="1"/>
  <c r="C66" i="6"/>
  <c r="E53" i="6"/>
  <c r="F50" i="6"/>
  <c r="E51" i="6"/>
  <c r="D52" i="6"/>
  <c r="C65" i="6"/>
  <c r="E48" i="5"/>
  <c r="E66" i="5" s="1"/>
  <c r="F48" i="5"/>
  <c r="F69" i="5" s="1"/>
  <c r="E53" i="5"/>
  <c r="C48" i="5"/>
  <c r="C54" i="5" s="1"/>
  <c r="C68" i="5" s="1"/>
  <c r="G48" i="5"/>
  <c r="G69" i="5" s="1"/>
  <c r="D48" i="5"/>
  <c r="F50" i="5"/>
  <c r="E51" i="5"/>
  <c r="D52" i="5"/>
  <c r="G71" i="4"/>
  <c r="G70" i="4" s="1"/>
  <c r="F71" i="4"/>
  <c r="F70" i="4" s="1"/>
  <c r="E71" i="4"/>
  <c r="E70" i="4" s="1"/>
  <c r="D71" i="4"/>
  <c r="D70" i="4" s="1"/>
  <c r="C71" i="4"/>
  <c r="C70" i="4" s="1"/>
  <c r="G67" i="4"/>
  <c r="F67" i="4"/>
  <c r="E67" i="4"/>
  <c r="D67" i="4"/>
  <c r="C67" i="4"/>
  <c r="D53" i="4"/>
  <c r="C53" i="4"/>
  <c r="C52" i="4"/>
  <c r="D52" i="4" s="1"/>
  <c r="C51" i="4"/>
  <c r="C64" i="4" s="1"/>
  <c r="C50" i="4"/>
  <c r="D50" i="4" s="1"/>
  <c r="G47" i="4"/>
  <c r="F47" i="4"/>
  <c r="E47" i="4"/>
  <c r="E48" i="4" s="1"/>
  <c r="D47" i="4"/>
  <c r="C47" i="4"/>
  <c r="G5" i="4"/>
  <c r="G46" i="4" s="1"/>
  <c r="F5" i="4"/>
  <c r="F46" i="4" s="1"/>
  <c r="E5" i="4"/>
  <c r="E46" i="4" s="1"/>
  <c r="D5" i="4"/>
  <c r="D46" i="4" s="1"/>
  <c r="C5" i="4"/>
  <c r="C46" i="4" s="1"/>
  <c r="C48" i="4" s="1"/>
  <c r="C54" i="4" s="1"/>
  <c r="D50" i="9" l="1"/>
  <c r="C58" i="9"/>
  <c r="C66" i="9" s="1"/>
  <c r="D57" i="9"/>
  <c r="D54" i="9"/>
  <c r="E64" i="9"/>
  <c r="F51" i="9"/>
  <c r="D69" i="9"/>
  <c r="E52" i="9"/>
  <c r="D63" i="9"/>
  <c r="D65" i="9"/>
  <c r="C65" i="9"/>
  <c r="E65" i="9"/>
  <c r="F53" i="9"/>
  <c r="D65" i="7"/>
  <c r="E66" i="7"/>
  <c r="D69" i="7"/>
  <c r="C62" i="7"/>
  <c r="C61" i="7" s="1"/>
  <c r="C60" i="7" s="1"/>
  <c r="E64" i="7"/>
  <c r="F51" i="7"/>
  <c r="F58" i="7"/>
  <c r="F66" i="7" s="1"/>
  <c r="G50" i="7"/>
  <c r="G58" i="7" s="1"/>
  <c r="G66" i="7" s="1"/>
  <c r="E52" i="7"/>
  <c r="D63" i="7"/>
  <c r="E65" i="7"/>
  <c r="F53" i="7"/>
  <c r="D57" i="7"/>
  <c r="D54" i="7"/>
  <c r="C62" i="6"/>
  <c r="C61" i="6" s="1"/>
  <c r="C60" i="6" s="1"/>
  <c r="E66" i="6"/>
  <c r="E64" i="6"/>
  <c r="F51" i="6"/>
  <c r="F58" i="6"/>
  <c r="F66" i="6" s="1"/>
  <c r="G50" i="6"/>
  <c r="G58" i="6" s="1"/>
  <c r="G66" i="6" s="1"/>
  <c r="D57" i="6"/>
  <c r="D54" i="6"/>
  <c r="D66" i="6"/>
  <c r="E52" i="6"/>
  <c r="D63" i="6"/>
  <c r="E65" i="6"/>
  <c r="F53" i="6"/>
  <c r="D69" i="6"/>
  <c r="E69" i="5"/>
  <c r="C65" i="5"/>
  <c r="C69" i="5"/>
  <c r="D57" i="5"/>
  <c r="D54" i="5"/>
  <c r="D69" i="5"/>
  <c r="E64" i="5"/>
  <c r="F51" i="5"/>
  <c r="D65" i="5"/>
  <c r="E52" i="5"/>
  <c r="D63" i="5"/>
  <c r="F58" i="5"/>
  <c r="F66" i="5" s="1"/>
  <c r="G50" i="5"/>
  <c r="G58" i="5" s="1"/>
  <c r="G66" i="5" s="1"/>
  <c r="E65" i="5"/>
  <c r="F53" i="5"/>
  <c r="D66" i="5"/>
  <c r="C66" i="5"/>
  <c r="D51" i="4"/>
  <c r="C63" i="4"/>
  <c r="D48" i="4"/>
  <c r="D63" i="4"/>
  <c r="E52" i="4"/>
  <c r="F48" i="4"/>
  <c r="F69" i="4" s="1"/>
  <c r="G48" i="4"/>
  <c r="G69" i="4" s="1"/>
  <c r="C65" i="4"/>
  <c r="C68" i="4"/>
  <c r="C69" i="4"/>
  <c r="E50" i="4"/>
  <c r="D58" i="4"/>
  <c r="E69" i="4"/>
  <c r="E53" i="4"/>
  <c r="C58" i="4"/>
  <c r="C66" i="4" s="1"/>
  <c r="D58" i="9" l="1"/>
  <c r="D66" i="9" s="1"/>
  <c r="D62" i="9" s="1"/>
  <c r="E50" i="9"/>
  <c r="F64" i="9"/>
  <c r="G51" i="9"/>
  <c r="G64" i="9" s="1"/>
  <c r="F52" i="9"/>
  <c r="E63" i="9"/>
  <c r="F65" i="9"/>
  <c r="G53" i="9"/>
  <c r="G65" i="9" s="1"/>
  <c r="C62" i="9"/>
  <c r="C61" i="9" s="1"/>
  <c r="C60" i="9" s="1"/>
  <c r="D68" i="9"/>
  <c r="F54" i="9"/>
  <c r="E54" i="9"/>
  <c r="G54" i="9" s="1"/>
  <c r="E57" i="9"/>
  <c r="D62" i="7"/>
  <c r="D68" i="7"/>
  <c r="E54" i="7"/>
  <c r="F52" i="7"/>
  <c r="E63" i="7"/>
  <c r="E62" i="7" s="1"/>
  <c r="G53" i="7"/>
  <c r="G65" i="7" s="1"/>
  <c r="F65" i="7"/>
  <c r="C43" i="7"/>
  <c r="C41" i="7"/>
  <c r="F64" i="7"/>
  <c r="G51" i="7"/>
  <c r="G64" i="7" s="1"/>
  <c r="E57" i="7"/>
  <c r="D68" i="6"/>
  <c r="E54" i="6"/>
  <c r="F52" i="6"/>
  <c r="E63" i="6"/>
  <c r="E62" i="6" s="1"/>
  <c r="E57" i="6"/>
  <c r="F64" i="6"/>
  <c r="G51" i="6"/>
  <c r="G64" i="6" s="1"/>
  <c r="D62" i="6"/>
  <c r="F65" i="6"/>
  <c r="G53" i="6"/>
  <c r="G65" i="6" s="1"/>
  <c r="C43" i="6"/>
  <c r="C41" i="6"/>
  <c r="C62" i="5"/>
  <c r="C61" i="5" s="1"/>
  <c r="C60" i="5" s="1"/>
  <c r="C41" i="5" s="1"/>
  <c r="E54" i="5"/>
  <c r="D68" i="5"/>
  <c r="F52" i="5"/>
  <c r="E63" i="5"/>
  <c r="E62" i="5" s="1"/>
  <c r="F65" i="5"/>
  <c r="G53" i="5"/>
  <c r="G65" i="5" s="1"/>
  <c r="F64" i="5"/>
  <c r="G51" i="5"/>
  <c r="G64" i="5" s="1"/>
  <c r="E57" i="5"/>
  <c r="F57" i="5" s="1"/>
  <c r="G57" i="5" s="1"/>
  <c r="D62" i="5"/>
  <c r="D61" i="5" s="1"/>
  <c r="D60" i="5" s="1"/>
  <c r="D41" i="5" s="1"/>
  <c r="D42" i="5" s="1"/>
  <c r="D65" i="4"/>
  <c r="D54" i="4"/>
  <c r="D66" i="4"/>
  <c r="D62" i="4" s="1"/>
  <c r="C62" i="4"/>
  <c r="C61" i="4" s="1"/>
  <c r="C60" i="4" s="1"/>
  <c r="D69" i="4"/>
  <c r="D64" i="4"/>
  <c r="E51" i="4"/>
  <c r="F53" i="4"/>
  <c r="E65" i="4"/>
  <c r="E58" i="4"/>
  <c r="E66" i="4" s="1"/>
  <c r="F50" i="4"/>
  <c r="E63" i="4"/>
  <c r="F52" i="4"/>
  <c r="D57" i="4"/>
  <c r="E58" i="9" l="1"/>
  <c r="E66" i="9" s="1"/>
  <c r="E62" i="9" s="1"/>
  <c r="F50" i="9"/>
  <c r="G57" i="9"/>
  <c r="G68" i="9" s="1"/>
  <c r="C43" i="9"/>
  <c r="C41" i="9"/>
  <c r="F68" i="9"/>
  <c r="F63" i="9"/>
  <c r="G52" i="9"/>
  <c r="G63" i="9" s="1"/>
  <c r="F57" i="9"/>
  <c r="E68" i="9"/>
  <c r="D61" i="9"/>
  <c r="D60" i="9" s="1"/>
  <c r="D41" i="9" s="1"/>
  <c r="D42" i="9" s="1"/>
  <c r="D61" i="7"/>
  <c r="D60" i="7" s="1"/>
  <c r="D41" i="7" s="1"/>
  <c r="D42" i="7" s="1"/>
  <c r="E68" i="7"/>
  <c r="F54" i="7"/>
  <c r="G54" i="7" s="1"/>
  <c r="F57" i="7"/>
  <c r="G57" i="7" s="1"/>
  <c r="C42" i="7"/>
  <c r="E61" i="7"/>
  <c r="E60" i="7" s="1"/>
  <c r="E41" i="7" s="1"/>
  <c r="E42" i="7" s="1"/>
  <c r="F63" i="7"/>
  <c r="F62" i="7" s="1"/>
  <c r="G52" i="7"/>
  <c r="G63" i="7" s="1"/>
  <c r="G62" i="7" s="1"/>
  <c r="E68" i="6"/>
  <c r="E61" i="6" s="1"/>
  <c r="E60" i="6" s="1"/>
  <c r="E41" i="6" s="1"/>
  <c r="E42" i="6" s="1"/>
  <c r="F54" i="6"/>
  <c r="G54" i="6" s="1"/>
  <c r="F57" i="6"/>
  <c r="G57" i="6" s="1"/>
  <c r="G52" i="6"/>
  <c r="G63" i="6" s="1"/>
  <c r="G62" i="6" s="1"/>
  <c r="F63" i="6"/>
  <c r="F62" i="6" s="1"/>
  <c r="C42" i="6"/>
  <c r="D61" i="6"/>
  <c r="D60" i="6" s="1"/>
  <c r="D41" i="6" s="1"/>
  <c r="D42" i="6" s="1"/>
  <c r="E68" i="5"/>
  <c r="E61" i="5"/>
  <c r="E60" i="5" s="1"/>
  <c r="E41" i="5" s="1"/>
  <c r="E42" i="5" s="1"/>
  <c r="C43" i="5"/>
  <c r="D43" i="5" s="1"/>
  <c r="F63" i="5"/>
  <c r="F62" i="5" s="1"/>
  <c r="G52" i="5"/>
  <c r="G63" i="5" s="1"/>
  <c r="G62" i="5" s="1"/>
  <c r="F54" i="5"/>
  <c r="F68" i="5" s="1"/>
  <c r="E54" i="4"/>
  <c r="F54" i="4" s="1"/>
  <c r="G54" i="4" s="1"/>
  <c r="E64" i="4"/>
  <c r="F51" i="4"/>
  <c r="F58" i="4"/>
  <c r="F66" i="4" s="1"/>
  <c r="G50" i="4"/>
  <c r="G58" i="4" s="1"/>
  <c r="G66" i="4" s="1"/>
  <c r="D68" i="4"/>
  <c r="E57" i="4"/>
  <c r="F57" i="4" s="1"/>
  <c r="D61" i="4"/>
  <c r="D60" i="4" s="1"/>
  <c r="D41" i="4" s="1"/>
  <c r="D42" i="4" s="1"/>
  <c r="C41" i="4"/>
  <c r="C43" i="4"/>
  <c r="F63" i="4"/>
  <c r="G52" i="4"/>
  <c r="G63" i="4" s="1"/>
  <c r="G53" i="4"/>
  <c r="G65" i="4" s="1"/>
  <c r="F65" i="4"/>
  <c r="E62" i="4"/>
  <c r="E61" i="9" l="1"/>
  <c r="E60" i="9" s="1"/>
  <c r="E41" i="9" s="1"/>
  <c r="E42" i="9" s="1"/>
  <c r="F58" i="9"/>
  <c r="F66" i="9" s="1"/>
  <c r="F62" i="9" s="1"/>
  <c r="F61" i="9" s="1"/>
  <c r="F60" i="9" s="1"/>
  <c r="F41" i="9" s="1"/>
  <c r="F42" i="9" s="1"/>
  <c r="G50" i="9"/>
  <c r="G58" i="9" s="1"/>
  <c r="G66" i="9" s="1"/>
  <c r="G62" i="9" s="1"/>
  <c r="G61" i="9" s="1"/>
  <c r="G60" i="9" s="1"/>
  <c r="G41" i="9" s="1"/>
  <c r="G42" i="9" s="1"/>
  <c r="C42" i="9"/>
  <c r="D43" i="9"/>
  <c r="E43" i="9" s="1"/>
  <c r="D43" i="7"/>
  <c r="E43" i="7" s="1"/>
  <c r="F68" i="7"/>
  <c r="F61" i="7" s="1"/>
  <c r="F60" i="7" s="1"/>
  <c r="F41" i="7" s="1"/>
  <c r="F42" i="7" s="1"/>
  <c r="G68" i="7"/>
  <c r="G61" i="7" s="1"/>
  <c r="G60" i="7" s="1"/>
  <c r="G41" i="7" s="1"/>
  <c r="G42" i="7" s="1"/>
  <c r="D43" i="6"/>
  <c r="E43" i="6" s="1"/>
  <c r="G68" i="6"/>
  <c r="G61" i="6" s="1"/>
  <c r="G60" i="6" s="1"/>
  <c r="G41" i="6" s="1"/>
  <c r="G42" i="6" s="1"/>
  <c r="F61" i="6"/>
  <c r="F60" i="6" s="1"/>
  <c r="F41" i="6" s="1"/>
  <c r="F42" i="6" s="1"/>
  <c r="F68" i="6"/>
  <c r="E43" i="5"/>
  <c r="C42" i="5"/>
  <c r="G54" i="5"/>
  <c r="G68" i="5" s="1"/>
  <c r="G61" i="5" s="1"/>
  <c r="G60" i="5" s="1"/>
  <c r="G41" i="5" s="1"/>
  <c r="G42" i="5" s="1"/>
  <c r="F61" i="5"/>
  <c r="F60" i="5" s="1"/>
  <c r="F41" i="5" s="1"/>
  <c r="F68" i="4"/>
  <c r="G51" i="4"/>
  <c r="G64" i="4" s="1"/>
  <c r="G62" i="4" s="1"/>
  <c r="F64" i="4"/>
  <c r="G57" i="4"/>
  <c r="C42" i="4"/>
  <c r="F62" i="4"/>
  <c r="G68" i="4"/>
  <c r="D43" i="4"/>
  <c r="E68" i="4"/>
  <c r="E61" i="4" s="1"/>
  <c r="E60" i="4" s="1"/>
  <c r="E41" i="4" s="1"/>
  <c r="F43" i="9" l="1"/>
  <c r="G43" i="9" s="1"/>
  <c r="H42" i="9"/>
  <c r="I42" i="9" s="1"/>
  <c r="H42" i="7"/>
  <c r="I42" i="7" s="1"/>
  <c r="F43" i="7"/>
  <c r="G43" i="7" s="1"/>
  <c r="H41" i="7"/>
  <c r="I41" i="7" s="1"/>
  <c r="H42" i="6"/>
  <c r="I42" i="6" s="1"/>
  <c r="F43" i="6"/>
  <c r="G43" i="6" s="1"/>
  <c r="H41" i="6"/>
  <c r="I41" i="6" s="1"/>
  <c r="F43" i="5"/>
  <c r="G43" i="5" s="1"/>
  <c r="F42" i="5"/>
  <c r="H42" i="5" s="1"/>
  <c r="I42" i="5" s="1"/>
  <c r="H41" i="5"/>
  <c r="I41" i="5" s="1"/>
  <c r="F61" i="4"/>
  <c r="F60" i="4" s="1"/>
  <c r="F41" i="4" s="1"/>
  <c r="F42" i="4" s="1"/>
  <c r="E42" i="4"/>
  <c r="E43" i="4"/>
  <c r="G61" i="4"/>
  <c r="G60" i="4" s="1"/>
  <c r="G41" i="4" s="1"/>
  <c r="G42" i="4" s="1"/>
  <c r="H41" i="9"/>
  <c r="I41" i="9" l="1"/>
  <c r="F43" i="4"/>
  <c r="G43" i="4" s="1"/>
  <c r="H42" i="4"/>
  <c r="I42" i="4" s="1"/>
  <c r="H41" i="4"/>
  <c r="I41" i="4" s="1"/>
</calcChain>
</file>

<file path=xl/comments1.xml><?xml version="1.0" encoding="utf-8"?>
<comments xmlns="http://schemas.openxmlformats.org/spreadsheetml/2006/main">
  <authors>
    <author>Ashish Gupta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Tuition is kept constant (for now) for simplicity.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The Ad. Expenditure for any year cannot exceed certain percentage of total available wallet.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This shows how money is withdrawn from total (500000) over years. This decision making is important in order to cover risk.</t>
        </r>
      </text>
    </comment>
  </commentList>
</comments>
</file>

<file path=xl/comments2.xml><?xml version="1.0" encoding="utf-8"?>
<comments xmlns="http://schemas.openxmlformats.org/spreadsheetml/2006/main">
  <authors>
    <author>Ashish Gupta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Tuition is kept constant (for now) for simplicity.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The Ad. Expenditure for any year cannot exceed certain percentage of total available wallet.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This shows how money is withdrawn from total (500000) over years. This decision making is important in order to cover risk.</t>
        </r>
      </text>
    </comment>
  </commentList>
</comments>
</file>

<file path=xl/comments3.xml><?xml version="1.0" encoding="utf-8"?>
<comments xmlns="http://schemas.openxmlformats.org/spreadsheetml/2006/main">
  <authors>
    <author>Ashish Gupta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Tuition is kept constant (for now) for simplicity.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The Ad. Expenditure for any year cannot exceed certain percentage of total available wallet.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This shows how money is withdrawn from total (500000) over years. This decision making is important in order to cover risk.</t>
        </r>
      </text>
    </comment>
  </commentList>
</comments>
</file>

<file path=xl/comments4.xml><?xml version="1.0" encoding="utf-8"?>
<comments xmlns="http://schemas.openxmlformats.org/spreadsheetml/2006/main">
  <authors>
    <author>Ashish Gupta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Tuition is kept constant (for now) for simplicity.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The Ad. Expenditure for any year cannot exceed certain percentage of total available wallet.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This shows how money is withdrawn from total (500000) over years. This decision making is important in order to cover risk.</t>
        </r>
      </text>
    </comment>
  </commentList>
</comments>
</file>

<file path=xl/comments5.xml><?xml version="1.0" encoding="utf-8"?>
<comments xmlns="http://schemas.openxmlformats.org/spreadsheetml/2006/main">
  <authors>
    <author>Ashish Gupta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Tuition is kept constant (for now) for simplicity.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The Ad. Expenditure for any year cannot exceed certain percentage of total available wallet.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Ashish Gupta:</t>
        </r>
        <r>
          <rPr>
            <sz val="9"/>
            <color indexed="81"/>
            <rFont val="Tahoma"/>
            <family val="2"/>
          </rPr>
          <t xml:space="preserve">
This shows how money is withdrawn from total (500000) over years. This decision making is important in order to cover risk.</t>
        </r>
      </text>
    </comment>
  </commentList>
</comments>
</file>

<file path=xl/sharedStrings.xml><?xml version="1.0" encoding="utf-8"?>
<sst xmlns="http://schemas.openxmlformats.org/spreadsheetml/2006/main" count="308" uniqueCount="59">
  <si>
    <t>Parameters</t>
  </si>
  <si>
    <t>Fixed cost parameters</t>
  </si>
  <si>
    <t>Space Customization</t>
  </si>
  <si>
    <t>Launch Advertisement exp.</t>
  </si>
  <si>
    <t>Material</t>
  </si>
  <si>
    <t>Training</t>
  </si>
  <si>
    <t>Variable Cost parameters</t>
  </si>
  <si>
    <t xml:space="preserve">Base Resources consumed/session </t>
  </si>
  <si>
    <t>Utilities increment rate</t>
  </si>
  <si>
    <t>Base Instructor Pay/hour</t>
  </si>
  <si>
    <t>Fringe Rate</t>
  </si>
  <si>
    <t>Each Session Duration</t>
  </si>
  <si>
    <t>No. of sessions/year</t>
  </si>
  <si>
    <t>Cost for space/student/month</t>
  </si>
  <si>
    <t>Total staff cost</t>
  </si>
  <si>
    <t>%age charged to program</t>
  </si>
  <si>
    <t>Max. Student-teacher ratio</t>
  </si>
  <si>
    <t>Earning %ages apart from tuition</t>
  </si>
  <si>
    <t>Functional Parameters</t>
  </si>
  <si>
    <t>Target Audience Popularity function</t>
  </si>
  <si>
    <t>Max Response Rate</t>
  </si>
  <si>
    <t>Decisions</t>
  </si>
  <si>
    <t>Tuition/student</t>
  </si>
  <si>
    <t>Ad. Expenditure</t>
  </si>
  <si>
    <t>Fixed budget Distribution</t>
  </si>
  <si>
    <t>Output</t>
  </si>
  <si>
    <t>Profit</t>
  </si>
  <si>
    <t>Calculations</t>
  </si>
  <si>
    <t>Popularity max target audience</t>
  </si>
  <si>
    <t>Response rate</t>
  </si>
  <si>
    <t>No. of students</t>
  </si>
  <si>
    <t>Current year Instructor Pay/hour</t>
  </si>
  <si>
    <t>Current year Utilities/session</t>
  </si>
  <si>
    <t>Total Staff Cost</t>
  </si>
  <si>
    <t>Salary/year/Instructor</t>
  </si>
  <si>
    <t>Total cost</t>
  </si>
  <si>
    <t>Total Variable cost</t>
  </si>
  <si>
    <t>Staff</t>
  </si>
  <si>
    <t>Resources</t>
  </si>
  <si>
    <t>Space</t>
  </si>
  <si>
    <t>Salaries</t>
  </si>
  <si>
    <t>Ad Expenditure</t>
  </si>
  <si>
    <t>Total fixed cost</t>
  </si>
  <si>
    <t>Total Revenues</t>
  </si>
  <si>
    <t>Others</t>
  </si>
  <si>
    <t>Cost for space/month/student</t>
  </si>
  <si>
    <t>Total</t>
  </si>
  <si>
    <t>Year value</t>
  </si>
  <si>
    <t>Time discount factor</t>
  </si>
  <si>
    <t>Total available wallet (at the end of year)</t>
  </si>
  <si>
    <t>Charges/student</t>
  </si>
  <si>
    <t>Profit (after time discount factor)</t>
  </si>
  <si>
    <t>Avg</t>
  </si>
  <si>
    <t>Team 10</t>
  </si>
  <si>
    <t>Project Problem Base Case</t>
  </si>
  <si>
    <t>Critical Number of Students</t>
  </si>
  <si>
    <t>$C$23</t>
  </si>
  <si>
    <t>$H$41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</si>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</sst>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3" fillId="0" borderId="0" xfId="0" applyFont="1"/>
    <xf numFmtId="0" fontId="1" fillId="2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8" borderId="0" xfId="0" applyFont="1" applyFill="1" applyBorder="1"/>
    <xf numFmtId="9" fontId="0" fillId="0" borderId="5" xfId="2" applyFont="1" applyBorder="1"/>
    <xf numFmtId="9" fontId="0" fillId="0" borderId="8" xfId="2" applyFont="1" applyFill="1" applyBorder="1"/>
    <xf numFmtId="164" fontId="0" fillId="0" borderId="2" xfId="3" applyNumberFormat="1" applyFont="1" applyBorder="1"/>
    <xf numFmtId="164" fontId="0" fillId="0" borderId="0" xfId="3" applyNumberFormat="1" applyFont="1" applyBorder="1"/>
    <xf numFmtId="164" fontId="0" fillId="0" borderId="7" xfId="3" applyNumberFormat="1" applyFont="1" applyFill="1" applyBorder="1"/>
    <xf numFmtId="165" fontId="0" fillId="0" borderId="5" xfId="1" applyNumberFormat="1" applyFont="1" applyBorder="1"/>
    <xf numFmtId="166" fontId="0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Border="1"/>
    <xf numFmtId="0" fontId="0" fillId="0" borderId="6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0" xfId="3" applyNumberFormat="1" applyFont="1" applyFill="1" applyBorder="1"/>
    <xf numFmtId="164" fontId="0" fillId="5" borderId="5" xfId="3" applyNumberFormat="1" applyFont="1" applyFill="1" applyBorder="1"/>
    <xf numFmtId="164" fontId="0" fillId="5" borderId="7" xfId="3" applyNumberFormat="1" applyFont="1" applyFill="1" applyBorder="1"/>
    <xf numFmtId="164" fontId="0" fillId="5" borderId="8" xfId="3" applyNumberFormat="1" applyFont="1" applyFill="1" applyBorder="1"/>
    <xf numFmtId="164" fontId="0" fillId="3" borderId="0" xfId="3" applyNumberFormat="1" applyFont="1" applyFill="1" applyBorder="1"/>
    <xf numFmtId="164" fontId="0" fillId="3" borderId="5" xfId="3" applyNumberFormat="1" applyFont="1" applyFill="1" applyBorder="1"/>
    <xf numFmtId="164" fontId="0" fillId="9" borderId="2" xfId="3" applyNumberFormat="1" applyFont="1" applyFill="1" applyBorder="1"/>
    <xf numFmtId="164" fontId="0" fillId="9" borderId="3" xfId="3" applyNumberFormat="1" applyFont="1" applyFill="1" applyBorder="1"/>
    <xf numFmtId="164" fontId="0" fillId="9" borderId="0" xfId="3" applyNumberFormat="1" applyFont="1" applyFill="1" applyBorder="1"/>
    <xf numFmtId="164" fontId="0" fillId="9" borderId="5" xfId="3" applyNumberFormat="1" applyFont="1" applyFill="1" applyBorder="1"/>
    <xf numFmtId="164" fontId="7" fillId="0" borderId="2" xfId="3" applyNumberFormat="1" applyFont="1" applyBorder="1"/>
    <xf numFmtId="164" fontId="0" fillId="0" borderId="3" xfId="3" applyNumberFormat="1" applyFont="1" applyBorder="1"/>
    <xf numFmtId="164" fontId="8" fillId="0" borderId="0" xfId="3" applyNumberFormat="1" applyFont="1" applyFill="1" applyBorder="1"/>
    <xf numFmtId="164" fontId="7" fillId="0" borderId="0" xfId="3" applyNumberFormat="1" applyFont="1" applyBorder="1"/>
    <xf numFmtId="164" fontId="0" fillId="0" borderId="5" xfId="3" applyNumberFormat="1" applyFont="1" applyBorder="1"/>
    <xf numFmtId="164" fontId="0" fillId="0" borderId="7" xfId="3" applyNumberFormat="1" applyFont="1" applyBorder="1"/>
    <xf numFmtId="164" fontId="0" fillId="0" borderId="8" xfId="3" applyNumberFormat="1" applyFont="1" applyBorder="1"/>
    <xf numFmtId="164" fontId="0" fillId="0" borderId="0" xfId="3" applyNumberFormat="1" applyFont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1" xfId="0" applyBorder="1" applyAlignment="1">
      <alignment horizontal="center"/>
    </xf>
    <xf numFmtId="0" fontId="0" fillId="0" borderId="11" xfId="0" applyNumberFormat="1" applyFill="1" applyBorder="1" applyAlignment="1"/>
    <xf numFmtId="164" fontId="0" fillId="0" borderId="11" xfId="0" applyNumberFormat="1" applyFill="1" applyBorder="1" applyAlignment="1"/>
    <xf numFmtId="0" fontId="0" fillId="0" borderId="12" xfId="0" applyNumberFormat="1" applyFill="1" applyBorder="1" applyAlignment="1"/>
    <xf numFmtId="164" fontId="0" fillId="0" borderId="12" xfId="0" applyNumberFormat="1" applyFill="1" applyBorder="1" applyAlignment="1"/>
    <xf numFmtId="0" fontId="9" fillId="0" borderId="10" xfId="0" applyFont="1" applyFill="1" applyBorder="1" applyAlignment="1">
      <alignment horizontal="lef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0</xdr:row>
      <xdr:rowOff>34745</xdr:rowOff>
    </xdr:from>
    <xdr:to>
      <xdr:col>11</xdr:col>
      <xdr:colOff>608500</xdr:colOff>
      <xdr:row>20</xdr:row>
      <xdr:rowOff>154711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0" y="34745"/>
          <a:ext cx="4863000" cy="381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602188</xdr:colOff>
      <xdr:row>18</xdr:row>
      <xdr:rowOff>57231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8588" cy="337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"/>
  <sheetViews>
    <sheetView workbookViewId="0">
      <selection activeCell="A16" sqref="A16"/>
    </sheetView>
  </sheetViews>
  <sheetFormatPr defaultRowHeight="14.5" x14ac:dyDescent="0.35"/>
  <cols>
    <col min="1" max="1" width="23" bestFit="1" customWidth="1"/>
    <col min="2" max="2" width="35.26953125" bestFit="1" customWidth="1"/>
    <col min="3" max="3" width="12.7265625" bestFit="1" customWidth="1"/>
    <col min="4" max="5" width="12.26953125" bestFit="1" customWidth="1"/>
    <col min="6" max="6" width="12.1796875" bestFit="1" customWidth="1"/>
    <col min="7" max="8" width="12.08984375" bestFit="1" customWidth="1"/>
    <col min="9" max="9" width="11.08984375" bestFit="1" customWidth="1"/>
  </cols>
  <sheetData>
    <row r="1" spans="1:7" x14ac:dyDescent="0.35">
      <c r="A1" t="s">
        <v>53</v>
      </c>
    </row>
    <row r="2" spans="1:7" x14ac:dyDescent="0.35">
      <c r="A2" s="1">
        <v>42466</v>
      </c>
    </row>
    <row r="3" spans="1:7" x14ac:dyDescent="0.35">
      <c r="A3" t="s">
        <v>54</v>
      </c>
    </row>
    <row r="4" spans="1:7" ht="15" thickBot="1" x14ac:dyDescent="0.4">
      <c r="B4" s="14" t="s">
        <v>0</v>
      </c>
      <c r="C4" s="4"/>
      <c r="D4" s="4"/>
      <c r="E4" s="4"/>
      <c r="F4" s="4"/>
      <c r="G4" s="4"/>
    </row>
    <row r="5" spans="1:7" ht="15" thickBot="1" x14ac:dyDescent="0.4">
      <c r="B5" s="9" t="s">
        <v>47</v>
      </c>
      <c r="C5" s="10">
        <f>0</f>
        <v>0</v>
      </c>
      <c r="D5" s="10">
        <f>1</f>
        <v>1</v>
      </c>
      <c r="E5" s="10">
        <f>2</f>
        <v>2</v>
      </c>
      <c r="F5" s="10">
        <f>3</f>
        <v>3</v>
      </c>
      <c r="G5" s="11">
        <f>4</f>
        <v>4</v>
      </c>
    </row>
    <row r="6" spans="1:7" ht="15" thickBot="1" x14ac:dyDescent="0.4">
      <c r="B6" s="27" t="s">
        <v>1</v>
      </c>
      <c r="C6" s="2"/>
      <c r="D6" s="2"/>
      <c r="E6" s="2"/>
      <c r="F6" s="2"/>
      <c r="G6" s="3"/>
    </row>
    <row r="7" spans="1:7" x14ac:dyDescent="0.35">
      <c r="B7" s="25" t="s">
        <v>2</v>
      </c>
      <c r="C7" s="19">
        <v>20000</v>
      </c>
      <c r="D7" s="2"/>
      <c r="E7" s="2"/>
      <c r="F7" s="2"/>
      <c r="G7" s="3"/>
    </row>
    <row r="8" spans="1:7" x14ac:dyDescent="0.35">
      <c r="B8" s="25" t="s">
        <v>3</v>
      </c>
      <c r="C8" s="20">
        <v>50000</v>
      </c>
      <c r="D8" s="4"/>
      <c r="E8" s="4"/>
      <c r="F8" s="4"/>
      <c r="G8" s="5"/>
    </row>
    <row r="9" spans="1:7" x14ac:dyDescent="0.35">
      <c r="B9" s="25" t="s">
        <v>4</v>
      </c>
      <c r="C9" s="20">
        <v>10000</v>
      </c>
      <c r="D9" s="4"/>
      <c r="E9" s="4"/>
      <c r="F9" s="4"/>
      <c r="G9" s="5"/>
    </row>
    <row r="10" spans="1:7" x14ac:dyDescent="0.35">
      <c r="B10" s="25" t="s">
        <v>5</v>
      </c>
      <c r="C10" s="20">
        <v>20000</v>
      </c>
      <c r="D10" s="4"/>
      <c r="E10" s="4"/>
      <c r="F10" s="4"/>
      <c r="G10" s="5"/>
    </row>
    <row r="11" spans="1:7" ht="15" thickBot="1" x14ac:dyDescent="0.4">
      <c r="B11" s="28" t="s">
        <v>55</v>
      </c>
      <c r="C11" s="21">
        <v>250</v>
      </c>
      <c r="D11" s="6"/>
      <c r="E11" s="6"/>
      <c r="F11" s="6"/>
      <c r="G11" s="7"/>
    </row>
    <row r="12" spans="1:7" ht="15" thickBot="1" x14ac:dyDescent="0.4"/>
    <row r="13" spans="1:7" x14ac:dyDescent="0.35">
      <c r="B13" s="24" t="s">
        <v>6</v>
      </c>
      <c r="C13" s="3"/>
      <c r="D13" s="4"/>
      <c r="E13" s="4"/>
      <c r="F13" s="4"/>
      <c r="G13" s="4"/>
    </row>
    <row r="14" spans="1:7" x14ac:dyDescent="0.35">
      <c r="B14" s="25" t="s">
        <v>7</v>
      </c>
      <c r="C14" s="23">
        <v>100</v>
      </c>
      <c r="D14" s="4"/>
      <c r="E14" s="4"/>
      <c r="F14" s="4"/>
      <c r="G14" s="4"/>
    </row>
    <row r="15" spans="1:7" x14ac:dyDescent="0.35">
      <c r="B15" s="25" t="s">
        <v>8</v>
      </c>
      <c r="C15" s="17">
        <v>0.01</v>
      </c>
      <c r="D15" s="4"/>
      <c r="E15" s="4"/>
      <c r="F15" s="4"/>
      <c r="G15" s="4"/>
    </row>
    <row r="16" spans="1:7" x14ac:dyDescent="0.35">
      <c r="B16" s="25" t="s">
        <v>9</v>
      </c>
      <c r="C16" s="23">
        <v>250</v>
      </c>
      <c r="D16" s="4"/>
      <c r="E16" s="4"/>
      <c r="F16" s="4"/>
      <c r="G16" s="4"/>
    </row>
    <row r="17" spans="2:7" x14ac:dyDescent="0.35">
      <c r="B17" s="25" t="s">
        <v>10</v>
      </c>
      <c r="C17" s="17">
        <v>0.03</v>
      </c>
      <c r="D17" s="4"/>
      <c r="E17" s="4"/>
      <c r="F17" s="4"/>
      <c r="G17" s="4"/>
    </row>
    <row r="18" spans="2:7" x14ac:dyDescent="0.35">
      <c r="B18" s="25" t="s">
        <v>11</v>
      </c>
      <c r="C18" s="5">
        <v>3</v>
      </c>
      <c r="D18" s="4"/>
      <c r="E18" s="4"/>
      <c r="F18" s="4"/>
      <c r="G18" s="4"/>
    </row>
    <row r="19" spans="2:7" x14ac:dyDescent="0.35">
      <c r="B19" s="25" t="s">
        <v>12</v>
      </c>
      <c r="C19" s="5">
        <v>27</v>
      </c>
      <c r="D19" s="4"/>
      <c r="E19" s="4"/>
      <c r="F19" s="4"/>
      <c r="G19" s="4"/>
    </row>
    <row r="20" spans="2:7" x14ac:dyDescent="0.35">
      <c r="B20" s="25" t="s">
        <v>13</v>
      </c>
      <c r="C20" s="23">
        <v>20</v>
      </c>
      <c r="D20" s="4"/>
      <c r="E20" s="4"/>
      <c r="F20" s="4"/>
      <c r="G20" s="4"/>
    </row>
    <row r="21" spans="2:7" x14ac:dyDescent="0.35">
      <c r="B21" s="25" t="s">
        <v>14</v>
      </c>
      <c r="C21" s="23">
        <v>500000</v>
      </c>
      <c r="D21" s="4"/>
      <c r="E21" s="4"/>
      <c r="F21" s="4"/>
      <c r="G21" s="4"/>
    </row>
    <row r="22" spans="2:7" x14ac:dyDescent="0.35">
      <c r="B22" s="25" t="s">
        <v>15</v>
      </c>
      <c r="C22" s="17">
        <v>0.05</v>
      </c>
      <c r="D22" s="4"/>
      <c r="E22" s="4"/>
      <c r="F22" s="4"/>
      <c r="G22" s="4"/>
    </row>
    <row r="23" spans="2:7" x14ac:dyDescent="0.35">
      <c r="B23" s="25" t="s">
        <v>16</v>
      </c>
      <c r="C23" s="5">
        <v>30</v>
      </c>
      <c r="D23" s="4"/>
      <c r="E23" s="4"/>
      <c r="F23" s="4"/>
      <c r="G23" s="4"/>
    </row>
    <row r="24" spans="2:7" x14ac:dyDescent="0.35">
      <c r="B24" s="25" t="s">
        <v>17</v>
      </c>
      <c r="C24" s="17">
        <v>0.2</v>
      </c>
      <c r="D24" s="4"/>
      <c r="E24" s="4"/>
      <c r="F24" s="4"/>
      <c r="G24" s="4"/>
    </row>
    <row r="25" spans="2:7" ht="15" thickBot="1" x14ac:dyDescent="0.4">
      <c r="B25" s="26" t="s">
        <v>48</v>
      </c>
      <c r="C25" s="18">
        <v>0.05</v>
      </c>
      <c r="D25" s="4"/>
      <c r="E25" s="4"/>
      <c r="F25" s="4"/>
      <c r="G25" s="4"/>
    </row>
    <row r="26" spans="2:7" ht="15" thickBot="1" x14ac:dyDescent="0.4"/>
    <row r="27" spans="2:7" x14ac:dyDescent="0.35">
      <c r="B27" s="8" t="s">
        <v>18</v>
      </c>
      <c r="C27" s="3"/>
      <c r="D27" s="4"/>
      <c r="E27" s="4"/>
      <c r="F27" s="4"/>
      <c r="G27" s="4"/>
    </row>
    <row r="28" spans="2:7" x14ac:dyDescent="0.35">
      <c r="B28" s="25" t="s">
        <v>19</v>
      </c>
      <c r="C28" s="5">
        <v>150</v>
      </c>
      <c r="D28" s="4"/>
      <c r="E28" s="4"/>
      <c r="F28" s="4"/>
      <c r="G28" s="4"/>
    </row>
    <row r="29" spans="2:7" x14ac:dyDescent="0.35">
      <c r="B29" s="25"/>
      <c r="C29" s="5">
        <v>5</v>
      </c>
      <c r="D29" s="4"/>
      <c r="E29" s="4"/>
      <c r="F29" s="4"/>
      <c r="G29" s="4"/>
    </row>
    <row r="30" spans="2:7" x14ac:dyDescent="0.35">
      <c r="B30" s="25"/>
      <c r="C30" s="5">
        <v>6</v>
      </c>
      <c r="D30" s="4"/>
      <c r="E30" s="4"/>
      <c r="F30" s="4"/>
      <c r="G30" s="4"/>
    </row>
    <row r="31" spans="2:7" x14ac:dyDescent="0.35">
      <c r="B31" s="25"/>
      <c r="C31" s="5">
        <v>-1</v>
      </c>
      <c r="D31" s="4"/>
      <c r="E31" s="4"/>
      <c r="F31" s="4"/>
      <c r="G31" s="4"/>
    </row>
    <row r="32" spans="2:7" ht="15" thickBot="1" x14ac:dyDescent="0.4">
      <c r="B32" s="28" t="s">
        <v>20</v>
      </c>
      <c r="C32" s="7">
        <v>20</v>
      </c>
      <c r="D32" s="4"/>
      <c r="E32" s="4"/>
      <c r="F32" s="4"/>
      <c r="G32" s="4"/>
    </row>
    <row r="33" spans="2:11" x14ac:dyDescent="0.35">
      <c r="B33" s="4"/>
      <c r="C33" s="4"/>
      <c r="D33" s="4"/>
      <c r="E33" s="4"/>
      <c r="F33" s="4"/>
      <c r="G33" s="4"/>
    </row>
    <row r="35" spans="2:11" ht="15" thickBot="1" x14ac:dyDescent="0.4">
      <c r="B35" s="13" t="s">
        <v>21</v>
      </c>
      <c r="C35" s="4"/>
      <c r="D35" s="4"/>
      <c r="E35" s="4"/>
      <c r="F35" s="4"/>
      <c r="G35" s="4"/>
    </row>
    <row r="36" spans="2:11" x14ac:dyDescent="0.35">
      <c r="B36" s="57" t="s">
        <v>22</v>
      </c>
      <c r="C36" s="52">
        <v>1500</v>
      </c>
      <c r="D36" s="52">
        <v>1500</v>
      </c>
      <c r="E36" s="52">
        <v>1500</v>
      </c>
      <c r="F36" s="52">
        <v>1500</v>
      </c>
      <c r="G36" s="53">
        <v>1500</v>
      </c>
      <c r="K36" s="12"/>
    </row>
    <row r="37" spans="2:11" x14ac:dyDescent="0.35">
      <c r="B37" s="25" t="s">
        <v>23</v>
      </c>
      <c r="C37" s="54">
        <v>50000</v>
      </c>
      <c r="D37" s="54">
        <v>50000</v>
      </c>
      <c r="E37" s="54">
        <v>50000</v>
      </c>
      <c r="F37" s="54">
        <v>50000</v>
      </c>
      <c r="G37" s="22">
        <v>50000</v>
      </c>
    </row>
    <row r="38" spans="2:11" ht="15" thickBot="1" x14ac:dyDescent="0.4">
      <c r="B38" s="26" t="s">
        <v>24</v>
      </c>
      <c r="C38" s="55">
        <v>300000</v>
      </c>
      <c r="D38" s="55">
        <v>100000</v>
      </c>
      <c r="E38" s="55">
        <v>100000</v>
      </c>
      <c r="F38" s="55">
        <v>0</v>
      </c>
      <c r="G38" s="56">
        <v>0</v>
      </c>
    </row>
    <row r="40" spans="2:11" ht="15" thickBot="1" x14ac:dyDescent="0.4">
      <c r="B40" s="15" t="s">
        <v>25</v>
      </c>
      <c r="C40" s="4"/>
      <c r="D40" s="4"/>
      <c r="E40" s="4"/>
      <c r="F40" s="4"/>
      <c r="G40" s="4"/>
      <c r="H40" t="s">
        <v>46</v>
      </c>
      <c r="I40" t="s">
        <v>52</v>
      </c>
    </row>
    <row r="41" spans="2:11" x14ac:dyDescent="0.35">
      <c r="B41" s="25" t="s">
        <v>26</v>
      </c>
      <c r="C41" s="44">
        <f>C60</f>
        <v>-110530</v>
      </c>
      <c r="D41" s="19">
        <f t="shared" ref="D41:G41" si="0">D60</f>
        <v>51824.399999999994</v>
      </c>
      <c r="E41" s="19">
        <f t="shared" si="0"/>
        <v>81665.093999999983</v>
      </c>
      <c r="F41" s="19">
        <f t="shared" si="0"/>
        <v>100005.62309999997</v>
      </c>
      <c r="G41" s="45">
        <f t="shared" si="0"/>
        <v>68474.799749400001</v>
      </c>
      <c r="H41" s="46">
        <f>SUM(C41:G41)</f>
        <v>191439.91684939995</v>
      </c>
      <c r="I41" s="46">
        <f>H41/5</f>
        <v>38287.983369879992</v>
      </c>
    </row>
    <row r="42" spans="2:11" x14ac:dyDescent="0.35">
      <c r="B42" s="25" t="s">
        <v>51</v>
      </c>
      <c r="C42" s="47">
        <f>IF(C41&gt;0,(C41/(1+$C$25)),-(C38-(C43/(1+$C$25))))</f>
        <v>-119552.38095238095</v>
      </c>
      <c r="D42" s="20">
        <f>D41/(1+$C$25)^(1+D5)</f>
        <v>47006.258503401354</v>
      </c>
      <c r="E42" s="20">
        <f t="shared" ref="E42:F42" si="1">E41/(1+$C$25)^(1+E5)</f>
        <v>70545.378684807234</v>
      </c>
      <c r="F42" s="20">
        <f t="shared" si="1"/>
        <v>82274.873617474179</v>
      </c>
      <c r="G42" s="48">
        <f>G41/(1+$C$25)^(1+G5)</f>
        <v>53651.797347342777</v>
      </c>
      <c r="H42" s="46">
        <f>SUM(C42:G42)</f>
        <v>133925.9272006446</v>
      </c>
      <c r="I42" s="46">
        <f>H42/5</f>
        <v>26785.18544012892</v>
      </c>
    </row>
    <row r="43" spans="2:11" ht="15" thickBot="1" x14ac:dyDescent="0.4">
      <c r="B43" s="26" t="s">
        <v>49</v>
      </c>
      <c r="C43" s="49">
        <f>C38+C60</f>
        <v>189470</v>
      </c>
      <c r="D43" s="49">
        <f>D38+C43+D60</f>
        <v>341294.4</v>
      </c>
      <c r="E43" s="49">
        <f>E38+D43+E60</f>
        <v>522959.49400000001</v>
      </c>
      <c r="F43" s="49">
        <f t="shared" ref="F43:G43" si="2">E43+F60</f>
        <v>622965.11709999992</v>
      </c>
      <c r="G43" s="50">
        <f t="shared" si="2"/>
        <v>691439.91684939992</v>
      </c>
      <c r="H43" s="51"/>
      <c r="I43" s="51"/>
    </row>
    <row r="45" spans="2:11" ht="15" thickBot="1" x14ac:dyDescent="0.4">
      <c r="B45" s="16" t="s">
        <v>27</v>
      </c>
      <c r="C45" s="4"/>
      <c r="D45" s="4"/>
      <c r="E45" s="4"/>
      <c r="F45" s="4"/>
      <c r="G45" s="4"/>
    </row>
    <row r="46" spans="2:11" x14ac:dyDescent="0.35">
      <c r="B46" s="29" t="s">
        <v>28</v>
      </c>
      <c r="C46" s="40">
        <f>$C$28*($C$29+($C$30*(C5))+($C$31*((C5)^2)))</f>
        <v>750</v>
      </c>
      <c r="D46" s="40">
        <f>$C$28*($C$29+($C$30*(D5))+($C$31*((D5)^2)))</f>
        <v>1500</v>
      </c>
      <c r="E46" s="40">
        <f>$C$28*($C$29+($C$30*(E5))+($C$31*((E5)^2)))</f>
        <v>1950</v>
      </c>
      <c r="F46" s="40">
        <f>$C$28*($C$29+($C$30*(F5))+($C$31*((F5)^2)))</f>
        <v>2100</v>
      </c>
      <c r="G46" s="41">
        <f>$C$28*($C$29+($C$30*(G5))+($C$31*((G5)^2)))</f>
        <v>1950</v>
      </c>
    </row>
    <row r="47" spans="2:11" x14ac:dyDescent="0.35">
      <c r="B47" s="30" t="s">
        <v>29</v>
      </c>
      <c r="C47" s="42">
        <f>$C$32^(1-(1/(C37/10000)))</f>
        <v>10.985605433061178</v>
      </c>
      <c r="D47" s="42">
        <f t="shared" ref="D47:G47" si="3">$C$32^(1-(1/(D37/10000)))</f>
        <v>10.985605433061178</v>
      </c>
      <c r="E47" s="42">
        <f t="shared" si="3"/>
        <v>10.985605433061178</v>
      </c>
      <c r="F47" s="42">
        <f t="shared" si="3"/>
        <v>10.985605433061178</v>
      </c>
      <c r="G47" s="43">
        <f t="shared" si="3"/>
        <v>10.985605433061178</v>
      </c>
    </row>
    <row r="48" spans="2:11" x14ac:dyDescent="0.35">
      <c r="B48" s="30" t="s">
        <v>30</v>
      </c>
      <c r="C48" s="42">
        <f>INT((C47/100)*C46)</f>
        <v>82</v>
      </c>
      <c r="D48" s="42">
        <f t="shared" ref="D48:G48" si="4">INT((D47/100)*D46)</f>
        <v>164</v>
      </c>
      <c r="E48" s="42">
        <f t="shared" si="4"/>
        <v>214</v>
      </c>
      <c r="F48" s="42">
        <f t="shared" si="4"/>
        <v>230</v>
      </c>
      <c r="G48" s="43">
        <f t="shared" si="4"/>
        <v>214</v>
      </c>
    </row>
    <row r="49" spans="2:7" x14ac:dyDescent="0.35">
      <c r="B49" s="25"/>
      <c r="C49" s="4"/>
      <c r="D49" s="4"/>
      <c r="E49" s="4"/>
      <c r="F49" s="4"/>
      <c r="G49" s="5"/>
    </row>
    <row r="50" spans="2:7" x14ac:dyDescent="0.35">
      <c r="B50" s="31" t="s">
        <v>31</v>
      </c>
      <c r="C50" s="38">
        <f>C16</f>
        <v>250</v>
      </c>
      <c r="D50" s="38">
        <f>C50*(1+$C$17)</f>
        <v>257.5</v>
      </c>
      <c r="E50" s="38">
        <f t="shared" ref="E50:G50" si="5">D50*(1+$C$17)</f>
        <v>265.22500000000002</v>
      </c>
      <c r="F50" s="38">
        <f t="shared" si="5"/>
        <v>273.18175000000002</v>
      </c>
      <c r="G50" s="39">
        <f t="shared" si="5"/>
        <v>281.37720250000001</v>
      </c>
    </row>
    <row r="51" spans="2:7" x14ac:dyDescent="0.35">
      <c r="B51" s="31" t="s">
        <v>32</v>
      </c>
      <c r="C51" s="38">
        <f>C14</f>
        <v>100</v>
      </c>
      <c r="D51" s="38">
        <f>C51*(1+$C$15)</f>
        <v>101</v>
      </c>
      <c r="E51" s="38">
        <f t="shared" ref="E51:G51" si="6">D51*(1+$C$15)</f>
        <v>102.01</v>
      </c>
      <c r="F51" s="38">
        <f t="shared" si="6"/>
        <v>103.0301</v>
      </c>
      <c r="G51" s="39">
        <f t="shared" si="6"/>
        <v>104.060401</v>
      </c>
    </row>
    <row r="52" spans="2:7" x14ac:dyDescent="0.35">
      <c r="B52" s="31" t="s">
        <v>33</v>
      </c>
      <c r="C52" s="38">
        <f>C21</f>
        <v>500000</v>
      </c>
      <c r="D52" s="38">
        <f>C52*(1+$C$17)</f>
        <v>515000</v>
      </c>
      <c r="E52" s="38">
        <f t="shared" ref="E52:G52" si="7">D52*(1+$C$17)</f>
        <v>530450</v>
      </c>
      <c r="F52" s="38">
        <f t="shared" si="7"/>
        <v>546363.5</v>
      </c>
      <c r="G52" s="39">
        <f t="shared" si="7"/>
        <v>562754.40500000003</v>
      </c>
    </row>
    <row r="53" spans="2:7" x14ac:dyDescent="0.35">
      <c r="B53" s="31" t="s">
        <v>45</v>
      </c>
      <c r="C53" s="38">
        <f>C20</f>
        <v>20</v>
      </c>
      <c r="D53" s="38">
        <f>C53*(1+$C$15)</f>
        <v>20.2</v>
      </c>
      <c r="E53" s="38">
        <f t="shared" ref="E53:G53" si="8">D53*(1+$C$15)</f>
        <v>20.402000000000001</v>
      </c>
      <c r="F53" s="38">
        <f t="shared" si="8"/>
        <v>20.606020000000001</v>
      </c>
      <c r="G53" s="39">
        <f t="shared" si="8"/>
        <v>20.8120802</v>
      </c>
    </row>
    <row r="54" spans="2:7" x14ac:dyDescent="0.35">
      <c r="B54" s="31" t="s">
        <v>2</v>
      </c>
      <c r="C54" s="38">
        <f>IF(C48&lt;=C11,20000,40000)</f>
        <v>20000</v>
      </c>
      <c r="D54" s="38">
        <f>IF(D48&lt;=250,0,20000)</f>
        <v>0</v>
      </c>
      <c r="E54" s="38">
        <f>IF(D54&gt;0,0,IF(E48&gt;=250,20000,0))</f>
        <v>0</v>
      </c>
      <c r="F54" s="38">
        <f>IF(SUM(D54:E54)&gt;0,0,IF(F48&gt;=250,20000,0))</f>
        <v>0</v>
      </c>
      <c r="G54" s="39">
        <f>IF(SUM(D54:F54)&gt;0,0,IF(G48&gt;=250,20000,0))</f>
        <v>0</v>
      </c>
    </row>
    <row r="55" spans="2:7" x14ac:dyDescent="0.35">
      <c r="B55" s="31" t="s">
        <v>3</v>
      </c>
      <c r="C55" s="38">
        <v>50000</v>
      </c>
      <c r="D55" s="38">
        <v>0</v>
      </c>
      <c r="E55" s="38">
        <v>0</v>
      </c>
      <c r="F55" s="38">
        <v>0</v>
      </c>
      <c r="G55" s="39">
        <v>0</v>
      </c>
    </row>
    <row r="56" spans="2:7" x14ac:dyDescent="0.35">
      <c r="B56" s="31" t="s">
        <v>4</v>
      </c>
      <c r="C56" s="38">
        <v>10000</v>
      </c>
      <c r="D56" s="38">
        <v>0</v>
      </c>
      <c r="E56" s="38">
        <v>0</v>
      </c>
      <c r="F56" s="38">
        <v>0</v>
      </c>
      <c r="G56" s="39">
        <v>0</v>
      </c>
    </row>
    <row r="57" spans="2:7" x14ac:dyDescent="0.35">
      <c r="B57" s="31" t="s">
        <v>5</v>
      </c>
      <c r="C57" s="38">
        <v>20000</v>
      </c>
      <c r="D57" s="38">
        <f>IF(D48&lt;=250,0,20000)</f>
        <v>0</v>
      </c>
      <c r="E57" s="38">
        <f>IF(D57&gt;0,0,IF(E48&gt;=250,20000,0))</f>
        <v>0</v>
      </c>
      <c r="F57" s="38">
        <f>IF(SUM(D57:E57)&gt;0,0,IF(F48&gt;=250,20000,0))</f>
        <v>0</v>
      </c>
      <c r="G57" s="39">
        <f>IF(SUM(D57:F57)&gt;0,0,IF(G48&gt;=250,20000,0))</f>
        <v>0</v>
      </c>
    </row>
    <row r="58" spans="2:7" x14ac:dyDescent="0.35">
      <c r="B58" s="31" t="s">
        <v>34</v>
      </c>
      <c r="C58" s="38">
        <f>C50*$C$18*$C$19</f>
        <v>20250</v>
      </c>
      <c r="D58" s="38">
        <f>D50*$C$18*$C$19</f>
        <v>20857.5</v>
      </c>
      <c r="E58" s="38">
        <f>E50*$C$18*$C$19</f>
        <v>21483.225000000002</v>
      </c>
      <c r="F58" s="38">
        <f>F50*$C$18*$C$19</f>
        <v>22127.721750000004</v>
      </c>
      <c r="G58" s="39">
        <f>G50*$C$18*$C$19</f>
        <v>22791.553402499998</v>
      </c>
    </row>
    <row r="59" spans="2:7" x14ac:dyDescent="0.35">
      <c r="B59" s="25"/>
      <c r="C59" s="4"/>
      <c r="D59" s="4"/>
      <c r="E59" s="4"/>
      <c r="F59" s="4"/>
      <c r="G59" s="5"/>
    </row>
    <row r="60" spans="2:7" x14ac:dyDescent="0.35">
      <c r="B60" s="32" t="s">
        <v>26</v>
      </c>
      <c r="C60" s="34">
        <f>C69-C61</f>
        <v>-110530</v>
      </c>
      <c r="D60" s="34">
        <f>D69-D61</f>
        <v>51824.399999999994</v>
      </c>
      <c r="E60" s="34">
        <f>E69-E61</f>
        <v>81665.093999999983</v>
      </c>
      <c r="F60" s="34">
        <f>F69-F61</f>
        <v>100005.62309999997</v>
      </c>
      <c r="G60" s="35">
        <f>G69-G61</f>
        <v>68474.799749400001</v>
      </c>
    </row>
    <row r="61" spans="2:7" x14ac:dyDescent="0.35">
      <c r="B61" s="32" t="s">
        <v>35</v>
      </c>
      <c r="C61" s="34">
        <f>SUM(C62,C68)</f>
        <v>258130</v>
      </c>
      <c r="D61" s="34">
        <f>SUM(D62,D68)</f>
        <v>243375.6</v>
      </c>
      <c r="E61" s="34">
        <f>SUM(E62,E68)</f>
        <v>303534.90600000002</v>
      </c>
      <c r="F61" s="34">
        <f>SUM(F62,F68)</f>
        <v>313994.37690000003</v>
      </c>
      <c r="G61" s="35">
        <f>SUM(G62,G68)</f>
        <v>316725.2002506</v>
      </c>
    </row>
    <row r="62" spans="2:7" x14ac:dyDescent="0.35">
      <c r="B62" s="32" t="s">
        <v>36</v>
      </c>
      <c r="C62" s="34">
        <f>SUM(C63:C67)</f>
        <v>158130</v>
      </c>
      <c r="D62" s="34">
        <f t="shared" ref="D62:G62" si="9">SUM(D63:D67)</f>
        <v>243375.6</v>
      </c>
      <c r="E62" s="34">
        <f t="shared" si="9"/>
        <v>303534.90600000002</v>
      </c>
      <c r="F62" s="34">
        <f t="shared" si="9"/>
        <v>313994.37690000003</v>
      </c>
      <c r="G62" s="35">
        <f t="shared" si="9"/>
        <v>316725.2002506</v>
      </c>
    </row>
    <row r="63" spans="2:7" x14ac:dyDescent="0.35">
      <c r="B63" s="32" t="s">
        <v>37</v>
      </c>
      <c r="C63" s="34">
        <f>C52*$C$22</f>
        <v>25000</v>
      </c>
      <c r="D63" s="34">
        <f t="shared" ref="D63:G63" si="10">D52*$C$22</f>
        <v>25750</v>
      </c>
      <c r="E63" s="34">
        <f t="shared" si="10"/>
        <v>26522.5</v>
      </c>
      <c r="F63" s="34">
        <f t="shared" si="10"/>
        <v>27318.175000000003</v>
      </c>
      <c r="G63" s="35">
        <f t="shared" si="10"/>
        <v>28137.720250000002</v>
      </c>
    </row>
    <row r="64" spans="2:7" x14ac:dyDescent="0.35">
      <c r="B64" s="32" t="s">
        <v>38</v>
      </c>
      <c r="C64" s="34">
        <f>C51*$C$19</f>
        <v>2700</v>
      </c>
      <c r="D64" s="34">
        <f t="shared" ref="D64:G64" si="11">D51*$C$19</f>
        <v>2727</v>
      </c>
      <c r="E64" s="34">
        <f t="shared" si="11"/>
        <v>2754.27</v>
      </c>
      <c r="F64" s="34">
        <f t="shared" si="11"/>
        <v>2781.8126999999999</v>
      </c>
      <c r="G64" s="35">
        <f t="shared" si="11"/>
        <v>2809.630827</v>
      </c>
    </row>
    <row r="65" spans="2:7" x14ac:dyDescent="0.35">
      <c r="B65" s="32" t="s">
        <v>39</v>
      </c>
      <c r="C65" s="34">
        <f>C53*12*C48</f>
        <v>19680</v>
      </c>
      <c r="D65" s="34">
        <f t="shared" ref="D65:G65" si="12">D53*12*D48</f>
        <v>39753.599999999999</v>
      </c>
      <c r="E65" s="34">
        <f t="shared" si="12"/>
        <v>52392.336000000003</v>
      </c>
      <c r="F65" s="34">
        <f t="shared" si="12"/>
        <v>56872.6152</v>
      </c>
      <c r="G65" s="35">
        <f t="shared" si="12"/>
        <v>53445.421953600002</v>
      </c>
    </row>
    <row r="66" spans="2:7" x14ac:dyDescent="0.35">
      <c r="B66" s="32" t="s">
        <v>40</v>
      </c>
      <c r="C66" s="34">
        <f>C58*_xlfn.CEILING.MATH(C48/$C$23)</f>
        <v>60750</v>
      </c>
      <c r="D66" s="34">
        <f>D58*_xlfn.CEILING.MATH(D48/$C$23)</f>
        <v>125145</v>
      </c>
      <c r="E66" s="34">
        <f>E58*_xlfn.CEILING.MATH(E48/$C$23)</f>
        <v>171865.80000000002</v>
      </c>
      <c r="F66" s="34">
        <f>F58*_xlfn.CEILING.MATH(F48/$C$23)</f>
        <v>177021.77400000003</v>
      </c>
      <c r="G66" s="35">
        <f>G58*_xlfn.CEILING.MATH(G48/$C$23)</f>
        <v>182332.42721999998</v>
      </c>
    </row>
    <row r="67" spans="2:7" x14ac:dyDescent="0.35">
      <c r="B67" s="32" t="s">
        <v>41</v>
      </c>
      <c r="C67" s="34">
        <f>C37</f>
        <v>50000</v>
      </c>
      <c r="D67" s="34">
        <f t="shared" ref="D67:G67" si="13">D37</f>
        <v>50000</v>
      </c>
      <c r="E67" s="34">
        <f t="shared" si="13"/>
        <v>50000</v>
      </c>
      <c r="F67" s="34">
        <f t="shared" si="13"/>
        <v>50000</v>
      </c>
      <c r="G67" s="34">
        <f t="shared" si="13"/>
        <v>50000</v>
      </c>
    </row>
    <row r="68" spans="2:7" x14ac:dyDescent="0.35">
      <c r="B68" s="32" t="s">
        <v>42</v>
      </c>
      <c r="C68" s="34">
        <f>SUM(C54:C57)</f>
        <v>100000</v>
      </c>
      <c r="D68" s="34">
        <f>SUM(D54:D57)</f>
        <v>0</v>
      </c>
      <c r="E68" s="34">
        <f>SUM(E54:E57)</f>
        <v>0</v>
      </c>
      <c r="F68" s="34">
        <f>SUM(F54:F57)</f>
        <v>0</v>
      </c>
      <c r="G68" s="35">
        <f>SUM(G54:G57)</f>
        <v>0</v>
      </c>
    </row>
    <row r="69" spans="2:7" x14ac:dyDescent="0.35">
      <c r="B69" s="32" t="s">
        <v>43</v>
      </c>
      <c r="C69" s="34">
        <f>C70*C48</f>
        <v>147600</v>
      </c>
      <c r="D69" s="34">
        <f>D70*D48</f>
        <v>295200</v>
      </c>
      <c r="E69" s="34">
        <f>E70*E48</f>
        <v>385200</v>
      </c>
      <c r="F69" s="34">
        <f>F70*F48</f>
        <v>414000</v>
      </c>
      <c r="G69" s="35">
        <f>G70*G48</f>
        <v>385200</v>
      </c>
    </row>
    <row r="70" spans="2:7" x14ac:dyDescent="0.35">
      <c r="B70" s="32" t="s">
        <v>50</v>
      </c>
      <c r="C70" s="34">
        <f>C36+C71</f>
        <v>1800</v>
      </c>
      <c r="D70" s="34">
        <f>D36+D71</f>
        <v>1800</v>
      </c>
      <c r="E70" s="34">
        <f>E36+E71</f>
        <v>1800</v>
      </c>
      <c r="F70" s="34">
        <f>F36+F71</f>
        <v>1800</v>
      </c>
      <c r="G70" s="35">
        <f>G36+G71</f>
        <v>1800</v>
      </c>
    </row>
    <row r="71" spans="2:7" ht="15" thickBot="1" x14ac:dyDescent="0.4">
      <c r="B71" s="33" t="s">
        <v>44</v>
      </c>
      <c r="C71" s="36">
        <f>C36*$C$24</f>
        <v>300</v>
      </c>
      <c r="D71" s="36">
        <f>D36*$C$24</f>
        <v>300</v>
      </c>
      <c r="E71" s="36">
        <f>E36*$C$24</f>
        <v>300</v>
      </c>
      <c r="F71" s="36">
        <f>F36*$C$24</f>
        <v>300</v>
      </c>
      <c r="G71" s="37">
        <f>G36*$C$24</f>
        <v>300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"/>
  <sheetViews>
    <sheetView topLeftCell="B25" workbookViewId="0">
      <selection activeCell="H41" sqref="H41"/>
    </sheetView>
  </sheetViews>
  <sheetFormatPr defaultRowHeight="14.5" x14ac:dyDescent="0.35"/>
  <cols>
    <col min="1" max="1" width="23" bestFit="1" customWidth="1"/>
    <col min="2" max="2" width="35.26953125" bestFit="1" customWidth="1"/>
    <col min="3" max="3" width="12.7265625" bestFit="1" customWidth="1"/>
    <col min="4" max="5" width="12.26953125" bestFit="1" customWidth="1"/>
    <col min="6" max="6" width="12.1796875" bestFit="1" customWidth="1"/>
    <col min="7" max="8" width="12.08984375" bestFit="1" customWidth="1"/>
    <col min="9" max="9" width="11.08984375" bestFit="1" customWidth="1"/>
  </cols>
  <sheetData>
    <row r="1" spans="1:7" x14ac:dyDescent="0.35">
      <c r="A1" t="s">
        <v>53</v>
      </c>
    </row>
    <row r="2" spans="1:7" x14ac:dyDescent="0.35">
      <c r="A2" s="1">
        <v>42466</v>
      </c>
    </row>
    <row r="3" spans="1:7" x14ac:dyDescent="0.35">
      <c r="A3" t="s">
        <v>54</v>
      </c>
    </row>
    <row r="4" spans="1:7" ht="15" thickBot="1" x14ac:dyDescent="0.4">
      <c r="B4" s="14" t="s">
        <v>0</v>
      </c>
      <c r="C4" s="4"/>
      <c r="D4" s="4"/>
      <c r="E4" s="4"/>
      <c r="F4" s="4"/>
      <c r="G4" s="4"/>
    </row>
    <row r="5" spans="1:7" ht="15" thickBot="1" x14ac:dyDescent="0.4">
      <c r="B5" s="9" t="s">
        <v>47</v>
      </c>
      <c r="C5" s="10">
        <f>0</f>
        <v>0</v>
      </c>
      <c r="D5" s="10">
        <f>1</f>
        <v>1</v>
      </c>
      <c r="E5" s="10">
        <f>2</f>
        <v>2</v>
      </c>
      <c r="F5" s="10">
        <f>3</f>
        <v>3</v>
      </c>
      <c r="G5" s="11">
        <f>4</f>
        <v>4</v>
      </c>
    </row>
    <row r="6" spans="1:7" ht="15" thickBot="1" x14ac:dyDescent="0.4">
      <c r="B6" s="27" t="s">
        <v>1</v>
      </c>
      <c r="C6" s="2"/>
      <c r="D6" s="2"/>
      <c r="E6" s="2"/>
      <c r="F6" s="2"/>
      <c r="G6" s="3"/>
    </row>
    <row r="7" spans="1:7" x14ac:dyDescent="0.35">
      <c r="B7" s="25" t="s">
        <v>2</v>
      </c>
      <c r="C7" s="19">
        <v>20000</v>
      </c>
      <c r="D7" s="2"/>
      <c r="E7" s="2"/>
      <c r="F7" s="2"/>
      <c r="G7" s="3"/>
    </row>
    <row r="8" spans="1:7" x14ac:dyDescent="0.35">
      <c r="B8" s="25" t="s">
        <v>3</v>
      </c>
      <c r="C8" s="20">
        <v>50000</v>
      </c>
      <c r="D8" s="4"/>
      <c r="E8" s="4"/>
      <c r="F8" s="4"/>
      <c r="G8" s="5"/>
    </row>
    <row r="9" spans="1:7" x14ac:dyDescent="0.35">
      <c r="B9" s="25" t="s">
        <v>4</v>
      </c>
      <c r="C9" s="20">
        <v>10000</v>
      </c>
      <c r="D9" s="4"/>
      <c r="E9" s="4"/>
      <c r="F9" s="4"/>
      <c r="G9" s="5"/>
    </row>
    <row r="10" spans="1:7" x14ac:dyDescent="0.35">
      <c r="B10" s="25" t="s">
        <v>5</v>
      </c>
      <c r="C10" s="20">
        <v>20000</v>
      </c>
      <c r="D10" s="4"/>
      <c r="E10" s="4"/>
      <c r="F10" s="4"/>
      <c r="G10" s="5"/>
    </row>
    <row r="11" spans="1:7" ht="15" thickBot="1" x14ac:dyDescent="0.4">
      <c r="B11" s="28" t="s">
        <v>55</v>
      </c>
      <c r="C11" s="21">
        <v>250</v>
      </c>
      <c r="D11" s="6"/>
      <c r="E11" s="6"/>
      <c r="F11" s="6"/>
      <c r="G11" s="7"/>
    </row>
    <row r="12" spans="1:7" ht="15" thickBot="1" x14ac:dyDescent="0.4"/>
    <row r="13" spans="1:7" x14ac:dyDescent="0.35">
      <c r="B13" s="24" t="s">
        <v>6</v>
      </c>
      <c r="C13" s="3"/>
      <c r="D13" s="4"/>
      <c r="E13" s="4"/>
      <c r="F13" s="4"/>
      <c r="G13" s="4"/>
    </row>
    <row r="14" spans="1:7" x14ac:dyDescent="0.35">
      <c r="B14" s="25" t="s">
        <v>7</v>
      </c>
      <c r="C14" s="23">
        <v>100</v>
      </c>
      <c r="D14" s="4"/>
      <c r="E14" s="4"/>
      <c r="F14" s="4"/>
      <c r="G14" s="4"/>
    </row>
    <row r="15" spans="1:7" x14ac:dyDescent="0.35">
      <c r="B15" s="25" t="s">
        <v>8</v>
      </c>
      <c r="C15" s="17">
        <v>0.01</v>
      </c>
      <c r="D15" s="4"/>
      <c r="E15" s="4"/>
      <c r="F15" s="4"/>
      <c r="G15" s="4"/>
    </row>
    <row r="16" spans="1:7" x14ac:dyDescent="0.35">
      <c r="B16" s="25" t="s">
        <v>9</v>
      </c>
      <c r="C16" s="23">
        <v>250</v>
      </c>
      <c r="D16" s="4"/>
      <c r="E16" s="4"/>
      <c r="F16" s="4"/>
      <c r="G16" s="4"/>
    </row>
    <row r="17" spans="2:7" x14ac:dyDescent="0.35">
      <c r="B17" s="25" t="s">
        <v>10</v>
      </c>
      <c r="C17" s="17">
        <v>0.03</v>
      </c>
      <c r="D17" s="4"/>
      <c r="E17" s="4"/>
      <c r="F17" s="4"/>
      <c r="G17" s="4"/>
    </row>
    <row r="18" spans="2:7" x14ac:dyDescent="0.35">
      <c r="B18" s="25" t="s">
        <v>11</v>
      </c>
      <c r="C18" s="5">
        <v>3</v>
      </c>
      <c r="D18" s="4"/>
      <c r="E18" s="4"/>
      <c r="F18" s="4"/>
      <c r="G18" s="4"/>
    </row>
    <row r="19" spans="2:7" x14ac:dyDescent="0.35">
      <c r="B19" s="25" t="s">
        <v>12</v>
      </c>
      <c r="C19" s="5">
        <v>27</v>
      </c>
      <c r="D19" s="4"/>
      <c r="E19" s="4"/>
      <c r="F19" s="4"/>
      <c r="G19" s="4"/>
    </row>
    <row r="20" spans="2:7" x14ac:dyDescent="0.35">
      <c r="B20" s="25" t="s">
        <v>13</v>
      </c>
      <c r="C20" s="23">
        <v>20</v>
      </c>
      <c r="D20" s="4"/>
      <c r="E20" s="4"/>
      <c r="F20" s="4"/>
      <c r="G20" s="4"/>
    </row>
    <row r="21" spans="2:7" x14ac:dyDescent="0.35">
      <c r="B21" s="25" t="s">
        <v>14</v>
      </c>
      <c r="C21" s="23">
        <v>500000</v>
      </c>
      <c r="D21" s="4"/>
      <c r="E21" s="4"/>
      <c r="F21" s="4"/>
      <c r="G21" s="4"/>
    </row>
    <row r="22" spans="2:7" x14ac:dyDescent="0.35">
      <c r="B22" s="25" t="s">
        <v>15</v>
      </c>
      <c r="C22" s="17">
        <v>0.05</v>
      </c>
      <c r="D22" s="4"/>
      <c r="E22" s="4"/>
      <c r="F22" s="4"/>
      <c r="G22" s="4"/>
    </row>
    <row r="23" spans="2:7" x14ac:dyDescent="0.35">
      <c r="B23" s="25" t="s">
        <v>16</v>
      </c>
      <c r="C23" s="5">
        <v>30</v>
      </c>
      <c r="D23" s="4"/>
      <c r="E23" s="4"/>
      <c r="F23" s="4"/>
      <c r="G23" s="4"/>
    </row>
    <row r="24" spans="2:7" x14ac:dyDescent="0.35">
      <c r="B24" s="25" t="s">
        <v>17</v>
      </c>
      <c r="C24" s="17">
        <v>0.2</v>
      </c>
      <c r="D24" s="4"/>
      <c r="E24" s="4"/>
      <c r="F24" s="4"/>
      <c r="G24" s="4"/>
    </row>
    <row r="25" spans="2:7" ht="15" thickBot="1" x14ac:dyDescent="0.4">
      <c r="B25" s="26" t="s">
        <v>48</v>
      </c>
      <c r="C25" s="18">
        <v>0.05</v>
      </c>
      <c r="D25" s="4"/>
      <c r="E25" s="4"/>
      <c r="F25" s="4"/>
      <c r="G25" s="4"/>
    </row>
    <row r="26" spans="2:7" ht="15" thickBot="1" x14ac:dyDescent="0.4"/>
    <row r="27" spans="2:7" x14ac:dyDescent="0.35">
      <c r="B27" s="8" t="s">
        <v>18</v>
      </c>
      <c r="C27" s="3"/>
      <c r="D27" s="4"/>
      <c r="E27" s="4"/>
      <c r="F27" s="4"/>
      <c r="G27" s="4"/>
    </row>
    <row r="28" spans="2:7" x14ac:dyDescent="0.35">
      <c r="B28" s="25" t="s">
        <v>19</v>
      </c>
      <c r="C28" s="5">
        <v>150</v>
      </c>
      <c r="D28" s="4"/>
      <c r="E28" s="4"/>
      <c r="F28" s="4"/>
      <c r="G28" s="4"/>
    </row>
    <row r="29" spans="2:7" x14ac:dyDescent="0.35">
      <c r="B29" s="25"/>
      <c r="C29" s="5">
        <v>5</v>
      </c>
      <c r="D29" s="4"/>
      <c r="E29" s="4"/>
      <c r="F29" s="4"/>
      <c r="G29" s="4"/>
    </row>
    <row r="30" spans="2:7" x14ac:dyDescent="0.35">
      <c r="B30" s="25"/>
      <c r="C30" s="5">
        <v>6</v>
      </c>
      <c r="D30" s="4"/>
      <c r="E30" s="4"/>
      <c r="F30" s="4"/>
      <c r="G30" s="4"/>
    </row>
    <row r="31" spans="2:7" x14ac:dyDescent="0.35">
      <c r="B31" s="25"/>
      <c r="C31" s="5">
        <v>-1</v>
      </c>
      <c r="D31" s="4"/>
      <c r="E31" s="4"/>
      <c r="F31" s="4"/>
      <c r="G31" s="4"/>
    </row>
    <row r="32" spans="2:7" ht="15" thickBot="1" x14ac:dyDescent="0.4">
      <c r="B32" s="28" t="s">
        <v>20</v>
      </c>
      <c r="C32" s="7">
        <v>20</v>
      </c>
      <c r="D32" s="4"/>
      <c r="E32" s="4"/>
      <c r="F32" s="4"/>
      <c r="G32" s="4"/>
    </row>
    <row r="33" spans="2:11" x14ac:dyDescent="0.35">
      <c r="B33" s="4"/>
      <c r="C33" s="4"/>
      <c r="D33" s="4"/>
      <c r="E33" s="4"/>
      <c r="F33" s="4"/>
      <c r="G33" s="4"/>
    </row>
    <row r="35" spans="2:11" ht="15" thickBot="1" x14ac:dyDescent="0.4">
      <c r="B35" s="13" t="s">
        <v>21</v>
      </c>
      <c r="C35" s="4"/>
      <c r="D35" s="4"/>
      <c r="E35" s="4"/>
      <c r="F35" s="4"/>
      <c r="G35" s="4"/>
    </row>
    <row r="36" spans="2:11" x14ac:dyDescent="0.35">
      <c r="B36" s="57" t="s">
        <v>22</v>
      </c>
      <c r="C36" s="52">
        <v>1500</v>
      </c>
      <c r="D36" s="52">
        <v>1500</v>
      </c>
      <c r="E36" s="52">
        <v>1500</v>
      </c>
      <c r="F36" s="52">
        <v>1500</v>
      </c>
      <c r="G36" s="53">
        <v>1500</v>
      </c>
      <c r="K36" s="12"/>
    </row>
    <row r="37" spans="2:11" x14ac:dyDescent="0.35">
      <c r="B37" s="25" t="s">
        <v>23</v>
      </c>
      <c r="C37" s="54">
        <v>58644.914088461708</v>
      </c>
      <c r="D37" s="54">
        <v>83995.278092217151</v>
      </c>
      <c r="E37" s="54">
        <v>61703.427039378745</v>
      </c>
      <c r="F37" s="54">
        <v>53531.952600109595</v>
      </c>
      <c r="G37" s="22">
        <v>61888.385015774591</v>
      </c>
    </row>
    <row r="38" spans="2:11" ht="15" thickBot="1" x14ac:dyDescent="0.4">
      <c r="B38" s="26" t="s">
        <v>24</v>
      </c>
      <c r="C38" s="55">
        <v>300000</v>
      </c>
      <c r="D38" s="55">
        <v>100000</v>
      </c>
      <c r="E38" s="55">
        <v>100000</v>
      </c>
      <c r="F38" s="55">
        <v>0</v>
      </c>
      <c r="G38" s="56">
        <v>0</v>
      </c>
    </row>
    <row r="40" spans="2:11" ht="15" thickBot="1" x14ac:dyDescent="0.4">
      <c r="B40" s="15" t="s">
        <v>25</v>
      </c>
      <c r="C40" s="4"/>
      <c r="D40" s="4"/>
      <c r="E40" s="4"/>
      <c r="F40" s="4"/>
      <c r="G40" s="4"/>
      <c r="H40" t="s">
        <v>46</v>
      </c>
      <c r="I40" t="s">
        <v>52</v>
      </c>
    </row>
    <row r="41" spans="2:11" x14ac:dyDescent="0.35">
      <c r="B41" s="25" t="s">
        <v>26</v>
      </c>
      <c r="C41" s="44">
        <f>C60</f>
        <v>-106694.91408846172</v>
      </c>
      <c r="D41" s="19">
        <f t="shared" ref="D41:G41" si="0">D60</f>
        <v>68621.221907782834</v>
      </c>
      <c r="E41" s="19">
        <f t="shared" si="0"/>
        <v>110396.24296062125</v>
      </c>
      <c r="F41" s="19">
        <f t="shared" si="0"/>
        <v>112000.94809989037</v>
      </c>
      <c r="G41" s="45">
        <f t="shared" si="0"/>
        <v>96893.045711225423</v>
      </c>
      <c r="H41" s="46">
        <f>SUM(C41:G41)</f>
        <v>281216.54459105816</v>
      </c>
      <c r="I41" s="46">
        <f>H41/5</f>
        <v>56243.308918211631</v>
      </c>
    </row>
    <row r="42" spans="2:11" x14ac:dyDescent="0.35">
      <c r="B42" s="25" t="s">
        <v>51</v>
      </c>
      <c r="C42" s="47">
        <f>IF(C41&gt;0,(C41/(1+$C$25)),-(C38-(C43/(1+$C$25))))</f>
        <v>-115899.91817948737</v>
      </c>
      <c r="D42" s="20">
        <f>D41/(1+$C$25)^(1+D5)</f>
        <v>62241.471118170368</v>
      </c>
      <c r="E42" s="20">
        <f t="shared" ref="E42:F42" si="1">E41/(1+$C$25)^(1+E5)</f>
        <v>95364.425406000431</v>
      </c>
      <c r="F42" s="20">
        <f t="shared" si="1"/>
        <v>92143.457180816942</v>
      </c>
      <c r="G42" s="48">
        <f>G41/(1+$C$25)^(1+G5)</f>
        <v>75918.236663569609</v>
      </c>
      <c r="H42" s="46">
        <f>SUM(C42:G42)</f>
        <v>209767.67218906997</v>
      </c>
      <c r="I42" s="46">
        <f>H42/5</f>
        <v>41953.534437813993</v>
      </c>
    </row>
    <row r="43" spans="2:11" ht="15" thickBot="1" x14ac:dyDescent="0.4">
      <c r="B43" s="26" t="s">
        <v>49</v>
      </c>
      <c r="C43" s="49">
        <f>C38+C60</f>
        <v>193305.08591153828</v>
      </c>
      <c r="D43" s="49">
        <f>D38+C43+D60</f>
        <v>361926.30781932111</v>
      </c>
      <c r="E43" s="49">
        <f>E38+D43+E60</f>
        <v>572322.55077994242</v>
      </c>
      <c r="F43" s="49">
        <f t="shared" ref="F43:G43" si="2">E43+F60</f>
        <v>684323.4988798328</v>
      </c>
      <c r="G43" s="50">
        <f t="shared" si="2"/>
        <v>781216.54459105828</v>
      </c>
      <c r="H43" s="51"/>
      <c r="I43" s="51"/>
    </row>
    <row r="45" spans="2:11" ht="15" thickBot="1" x14ac:dyDescent="0.4">
      <c r="B45" s="16" t="s">
        <v>27</v>
      </c>
      <c r="C45" s="4"/>
      <c r="D45" s="4"/>
      <c r="E45" s="4"/>
      <c r="F45" s="4"/>
      <c r="G45" s="4"/>
    </row>
    <row r="46" spans="2:11" x14ac:dyDescent="0.35">
      <c r="B46" s="29" t="s">
        <v>28</v>
      </c>
      <c r="C46" s="40">
        <f>$C$28*($C$29+($C$30*(C5))+($C$31*((C5)^2)))</f>
        <v>750</v>
      </c>
      <c r="D46" s="40">
        <f>$C$28*($C$29+($C$30*(D5))+($C$31*((D5)^2)))</f>
        <v>1500</v>
      </c>
      <c r="E46" s="40">
        <f>$C$28*($C$29+($C$30*(E5))+($C$31*((E5)^2)))</f>
        <v>1950</v>
      </c>
      <c r="F46" s="40">
        <f>$C$28*($C$29+($C$30*(F5))+($C$31*((F5)^2)))</f>
        <v>2100</v>
      </c>
      <c r="G46" s="41">
        <f>$C$28*($C$29+($C$30*(G5))+($C$31*((G5)^2)))</f>
        <v>1950</v>
      </c>
    </row>
    <row r="47" spans="2:11" x14ac:dyDescent="0.35">
      <c r="B47" s="30" t="s">
        <v>29</v>
      </c>
      <c r="C47" s="42">
        <f>$C$32^(1-(1/(C37/10000)))</f>
        <v>12.000000426512999</v>
      </c>
      <c r="D47" s="42">
        <f t="shared" ref="D47:G47" si="3">$C$32^(1-(1/(D37/10000)))</f>
        <v>14.000281413500606</v>
      </c>
      <c r="E47" s="42">
        <f t="shared" si="3"/>
        <v>12.307726885567345</v>
      </c>
      <c r="F47" s="42">
        <f t="shared" si="3"/>
        <v>11.428572090070547</v>
      </c>
      <c r="G47" s="43">
        <f t="shared" si="3"/>
        <v>12.325597956968569</v>
      </c>
    </row>
    <row r="48" spans="2:11" x14ac:dyDescent="0.35">
      <c r="B48" s="30" t="s">
        <v>30</v>
      </c>
      <c r="C48" s="42">
        <f>INT((C47/100)*C46)</f>
        <v>90</v>
      </c>
      <c r="D48" s="42">
        <f t="shared" ref="D48:G48" si="4">INT((D47/100)*D46)</f>
        <v>210</v>
      </c>
      <c r="E48" s="42">
        <f t="shared" si="4"/>
        <v>240</v>
      </c>
      <c r="F48" s="42">
        <f t="shared" si="4"/>
        <v>240</v>
      </c>
      <c r="G48" s="43">
        <f t="shared" si="4"/>
        <v>240</v>
      </c>
    </row>
    <row r="49" spans="2:7" x14ac:dyDescent="0.35">
      <c r="B49" s="25"/>
      <c r="C49" s="4"/>
      <c r="D49" s="4"/>
      <c r="E49" s="4"/>
      <c r="F49" s="4"/>
      <c r="G49" s="5"/>
    </row>
    <row r="50" spans="2:7" x14ac:dyDescent="0.35">
      <c r="B50" s="31" t="s">
        <v>31</v>
      </c>
      <c r="C50" s="38">
        <f>C16</f>
        <v>250</v>
      </c>
      <c r="D50" s="38">
        <f>C50*(1+$C$17)</f>
        <v>257.5</v>
      </c>
      <c r="E50" s="38">
        <f t="shared" ref="E50:G50" si="5">D50*(1+$C$17)</f>
        <v>265.22500000000002</v>
      </c>
      <c r="F50" s="38">
        <f t="shared" si="5"/>
        <v>273.18175000000002</v>
      </c>
      <c r="G50" s="39">
        <f t="shared" si="5"/>
        <v>281.37720250000001</v>
      </c>
    </row>
    <row r="51" spans="2:7" x14ac:dyDescent="0.35">
      <c r="B51" s="31" t="s">
        <v>32</v>
      </c>
      <c r="C51" s="38">
        <f>C14</f>
        <v>100</v>
      </c>
      <c r="D51" s="38">
        <f>C51*(1+$C$15)</f>
        <v>101</v>
      </c>
      <c r="E51" s="38">
        <f t="shared" ref="E51:G51" si="6">D51*(1+$C$15)</f>
        <v>102.01</v>
      </c>
      <c r="F51" s="38">
        <f t="shared" si="6"/>
        <v>103.0301</v>
      </c>
      <c r="G51" s="39">
        <f t="shared" si="6"/>
        <v>104.060401</v>
      </c>
    </row>
    <row r="52" spans="2:7" x14ac:dyDescent="0.35">
      <c r="B52" s="31" t="s">
        <v>33</v>
      </c>
      <c r="C52" s="38">
        <f>C21</f>
        <v>500000</v>
      </c>
      <c r="D52" s="38">
        <f>C52*(1+$C$17)</f>
        <v>515000</v>
      </c>
      <c r="E52" s="38">
        <f t="shared" ref="E52:G52" si="7">D52*(1+$C$17)</f>
        <v>530450</v>
      </c>
      <c r="F52" s="38">
        <f t="shared" si="7"/>
        <v>546363.5</v>
      </c>
      <c r="G52" s="39">
        <f t="shared" si="7"/>
        <v>562754.40500000003</v>
      </c>
    </row>
    <row r="53" spans="2:7" x14ac:dyDescent="0.35">
      <c r="B53" s="31" t="s">
        <v>45</v>
      </c>
      <c r="C53" s="38">
        <f>C20</f>
        <v>20</v>
      </c>
      <c r="D53" s="38">
        <f>C53*(1+$C$15)</f>
        <v>20.2</v>
      </c>
      <c r="E53" s="38">
        <f t="shared" ref="E53:G53" si="8">D53*(1+$C$15)</f>
        <v>20.402000000000001</v>
      </c>
      <c r="F53" s="38">
        <f t="shared" si="8"/>
        <v>20.606020000000001</v>
      </c>
      <c r="G53" s="39">
        <f t="shared" si="8"/>
        <v>20.8120802</v>
      </c>
    </row>
    <row r="54" spans="2:7" x14ac:dyDescent="0.35">
      <c r="B54" s="31" t="s">
        <v>2</v>
      </c>
      <c r="C54" s="38">
        <f>IF(C48&lt;=C11,20000,40000)</f>
        <v>20000</v>
      </c>
      <c r="D54" s="38">
        <f>IF(D48&lt;=250,0,20000)</f>
        <v>0</v>
      </c>
      <c r="E54" s="38">
        <f>IF(D54&gt;0,0,IF(E48&gt;=250,20000,0))</f>
        <v>0</v>
      </c>
      <c r="F54" s="38">
        <f>IF(SUM(D54:E54)&gt;0,0,IF(F48&gt;=250,20000,0))</f>
        <v>0</v>
      </c>
      <c r="G54" s="39">
        <f>IF(SUM(D54:F54)&gt;0,0,IF(G48&gt;=250,20000,0))</f>
        <v>0</v>
      </c>
    </row>
    <row r="55" spans="2:7" x14ac:dyDescent="0.35">
      <c r="B55" s="31" t="s">
        <v>3</v>
      </c>
      <c r="C55" s="38">
        <v>50000</v>
      </c>
      <c r="D55" s="38">
        <v>0</v>
      </c>
      <c r="E55" s="38">
        <v>0</v>
      </c>
      <c r="F55" s="38">
        <v>0</v>
      </c>
      <c r="G55" s="39">
        <v>0</v>
      </c>
    </row>
    <row r="56" spans="2:7" x14ac:dyDescent="0.35">
      <c r="B56" s="31" t="s">
        <v>4</v>
      </c>
      <c r="C56" s="38">
        <v>10000</v>
      </c>
      <c r="D56" s="38">
        <v>0</v>
      </c>
      <c r="E56" s="38">
        <v>0</v>
      </c>
      <c r="F56" s="38">
        <v>0</v>
      </c>
      <c r="G56" s="39">
        <v>0</v>
      </c>
    </row>
    <row r="57" spans="2:7" x14ac:dyDescent="0.35">
      <c r="B57" s="31" t="s">
        <v>5</v>
      </c>
      <c r="C57" s="38">
        <v>20000</v>
      </c>
      <c r="D57" s="38">
        <f>IF(D48&lt;=250,0,20000)</f>
        <v>0</v>
      </c>
      <c r="E57" s="38">
        <f>IF(D57&gt;0,0,IF(E48&gt;=250,20000,0))</f>
        <v>0</v>
      </c>
      <c r="F57" s="38">
        <f>IF(SUM(D57:E57)&gt;0,0,IF(F48&gt;=250,20000,0))</f>
        <v>0</v>
      </c>
      <c r="G57" s="39">
        <f>IF(SUM(D57:F57)&gt;0,0,IF(G48&gt;=250,20000,0))</f>
        <v>0</v>
      </c>
    </row>
    <row r="58" spans="2:7" x14ac:dyDescent="0.35">
      <c r="B58" s="31" t="s">
        <v>34</v>
      </c>
      <c r="C58" s="38">
        <f>C50*$C$18*$C$19</f>
        <v>20250</v>
      </c>
      <c r="D58" s="38">
        <f>D50*$C$18*$C$19</f>
        <v>20857.5</v>
      </c>
      <c r="E58" s="38">
        <f>E50*$C$18*$C$19</f>
        <v>21483.225000000002</v>
      </c>
      <c r="F58" s="38">
        <f>F50*$C$18*$C$19</f>
        <v>22127.721750000004</v>
      </c>
      <c r="G58" s="39">
        <f>G50*$C$18*$C$19</f>
        <v>22791.553402499998</v>
      </c>
    </row>
    <row r="59" spans="2:7" x14ac:dyDescent="0.35">
      <c r="B59" s="25"/>
      <c r="C59" s="4"/>
      <c r="D59" s="4"/>
      <c r="E59" s="4"/>
      <c r="F59" s="4"/>
      <c r="G59" s="5"/>
    </row>
    <row r="60" spans="2:7" x14ac:dyDescent="0.35">
      <c r="B60" s="32" t="s">
        <v>26</v>
      </c>
      <c r="C60" s="34">
        <f>C69-C61</f>
        <v>-106694.91408846172</v>
      </c>
      <c r="D60" s="34">
        <f>D69-D61</f>
        <v>68621.221907782834</v>
      </c>
      <c r="E60" s="34">
        <f>E69-E61</f>
        <v>110396.24296062125</v>
      </c>
      <c r="F60" s="34">
        <f>F69-F61</f>
        <v>112000.94809989037</v>
      </c>
      <c r="G60" s="35">
        <f>G69-G61</f>
        <v>96893.045711225423</v>
      </c>
    </row>
    <row r="61" spans="2:7" x14ac:dyDescent="0.35">
      <c r="B61" s="32" t="s">
        <v>35</v>
      </c>
      <c r="C61" s="34">
        <f>SUM(C62,C68)</f>
        <v>268694.91408846172</v>
      </c>
      <c r="D61" s="34">
        <f>SUM(D62,D68)</f>
        <v>309378.77809221717</v>
      </c>
      <c r="E61" s="34">
        <f>SUM(E62,E68)</f>
        <v>321603.75703937875</v>
      </c>
      <c r="F61" s="34">
        <f>SUM(F62,F68)</f>
        <v>319999.05190010963</v>
      </c>
      <c r="G61" s="35">
        <f>SUM(G62,G68)</f>
        <v>335106.95428877458</v>
      </c>
    </row>
    <row r="62" spans="2:7" x14ac:dyDescent="0.35">
      <c r="B62" s="32" t="s">
        <v>36</v>
      </c>
      <c r="C62" s="34">
        <f>SUM(C63:C67)</f>
        <v>168694.91408846172</v>
      </c>
      <c r="D62" s="34">
        <f t="shared" ref="D62:G62" si="9">SUM(D63:D67)</f>
        <v>309378.77809221717</v>
      </c>
      <c r="E62" s="34">
        <f t="shared" si="9"/>
        <v>321603.75703937875</v>
      </c>
      <c r="F62" s="34">
        <f t="shared" si="9"/>
        <v>319999.05190010963</v>
      </c>
      <c r="G62" s="35">
        <f t="shared" si="9"/>
        <v>335106.95428877458</v>
      </c>
    </row>
    <row r="63" spans="2:7" x14ac:dyDescent="0.35">
      <c r="B63" s="32" t="s">
        <v>37</v>
      </c>
      <c r="C63" s="34">
        <f>C52*$C$22</f>
        <v>25000</v>
      </c>
      <c r="D63" s="34">
        <f t="shared" ref="D63:G63" si="10">D52*$C$22</f>
        <v>25750</v>
      </c>
      <c r="E63" s="34">
        <f t="shared" si="10"/>
        <v>26522.5</v>
      </c>
      <c r="F63" s="34">
        <f t="shared" si="10"/>
        <v>27318.175000000003</v>
      </c>
      <c r="G63" s="35">
        <f t="shared" si="10"/>
        <v>28137.720250000002</v>
      </c>
    </row>
    <row r="64" spans="2:7" x14ac:dyDescent="0.35">
      <c r="B64" s="32" t="s">
        <v>38</v>
      </c>
      <c r="C64" s="34">
        <f>C51*$C$19</f>
        <v>2700</v>
      </c>
      <c r="D64" s="34">
        <f t="shared" ref="D64:G64" si="11">D51*$C$19</f>
        <v>2727</v>
      </c>
      <c r="E64" s="34">
        <f t="shared" si="11"/>
        <v>2754.27</v>
      </c>
      <c r="F64" s="34">
        <f t="shared" si="11"/>
        <v>2781.8126999999999</v>
      </c>
      <c r="G64" s="35">
        <f t="shared" si="11"/>
        <v>2809.630827</v>
      </c>
    </row>
    <row r="65" spans="2:7" x14ac:dyDescent="0.35">
      <c r="B65" s="32" t="s">
        <v>39</v>
      </c>
      <c r="C65" s="34">
        <f>C53*12*C48</f>
        <v>21600</v>
      </c>
      <c r="D65" s="34">
        <f t="shared" ref="D65:G65" si="12">D53*12*D48</f>
        <v>50903.999999999993</v>
      </c>
      <c r="E65" s="34">
        <f t="shared" si="12"/>
        <v>58757.760000000002</v>
      </c>
      <c r="F65" s="34">
        <f t="shared" si="12"/>
        <v>59345.337599999999</v>
      </c>
      <c r="G65" s="35">
        <f t="shared" si="12"/>
        <v>59938.790976000004</v>
      </c>
    </row>
    <row r="66" spans="2:7" x14ac:dyDescent="0.35">
      <c r="B66" s="32" t="s">
        <v>40</v>
      </c>
      <c r="C66" s="34">
        <f>C58*_xlfn.CEILING.MATH(C48/$C$23)</f>
        <v>60750</v>
      </c>
      <c r="D66" s="34">
        <f>D58*_xlfn.CEILING.MATH(D48/$C$23)</f>
        <v>146002.5</v>
      </c>
      <c r="E66" s="34">
        <f>E58*_xlfn.CEILING.MATH(E48/$C$23)</f>
        <v>171865.80000000002</v>
      </c>
      <c r="F66" s="34">
        <f>F58*_xlfn.CEILING.MATH(F48/$C$23)</f>
        <v>177021.77400000003</v>
      </c>
      <c r="G66" s="35">
        <f>G58*_xlfn.CEILING.MATH(G48/$C$23)</f>
        <v>182332.42721999998</v>
      </c>
    </row>
    <row r="67" spans="2:7" x14ac:dyDescent="0.35">
      <c r="B67" s="32" t="s">
        <v>41</v>
      </c>
      <c r="C67" s="34">
        <f>C37</f>
        <v>58644.914088461708</v>
      </c>
      <c r="D67" s="34">
        <f t="shared" ref="D67:G67" si="13">D37</f>
        <v>83995.278092217151</v>
      </c>
      <c r="E67" s="34">
        <f t="shared" si="13"/>
        <v>61703.427039378745</v>
      </c>
      <c r="F67" s="34">
        <f t="shared" si="13"/>
        <v>53531.952600109595</v>
      </c>
      <c r="G67" s="34">
        <f t="shared" si="13"/>
        <v>61888.385015774591</v>
      </c>
    </row>
    <row r="68" spans="2:7" x14ac:dyDescent="0.35">
      <c r="B68" s="32" t="s">
        <v>42</v>
      </c>
      <c r="C68" s="34">
        <f>SUM(C54:C57)</f>
        <v>100000</v>
      </c>
      <c r="D68" s="34">
        <f>SUM(D54:D57)</f>
        <v>0</v>
      </c>
      <c r="E68" s="34">
        <f>SUM(E54:E57)</f>
        <v>0</v>
      </c>
      <c r="F68" s="34">
        <f>SUM(F54:F57)</f>
        <v>0</v>
      </c>
      <c r="G68" s="35">
        <f>SUM(G54:G57)</f>
        <v>0</v>
      </c>
    </row>
    <row r="69" spans="2:7" x14ac:dyDescent="0.35">
      <c r="B69" s="32" t="s">
        <v>43</v>
      </c>
      <c r="C69" s="34">
        <f>C70*C48</f>
        <v>162000</v>
      </c>
      <c r="D69" s="34">
        <f>D70*D48</f>
        <v>378000</v>
      </c>
      <c r="E69" s="34">
        <f>E70*E48</f>
        <v>432000</v>
      </c>
      <c r="F69" s="34">
        <f>F70*F48</f>
        <v>432000</v>
      </c>
      <c r="G69" s="35">
        <f>G70*G48</f>
        <v>432000</v>
      </c>
    </row>
    <row r="70" spans="2:7" x14ac:dyDescent="0.35">
      <c r="B70" s="32" t="s">
        <v>50</v>
      </c>
      <c r="C70" s="34">
        <f>C36+C71</f>
        <v>1800</v>
      </c>
      <c r="D70" s="34">
        <f>D36+D71</f>
        <v>1800</v>
      </c>
      <c r="E70" s="34">
        <f>E36+E71</f>
        <v>1800</v>
      </c>
      <c r="F70" s="34">
        <f>F36+F71</f>
        <v>1800</v>
      </c>
      <c r="G70" s="35">
        <f>G36+G71</f>
        <v>1800</v>
      </c>
    </row>
    <row r="71" spans="2:7" ht="15" thickBot="1" x14ac:dyDescent="0.4">
      <c r="B71" s="33" t="s">
        <v>44</v>
      </c>
      <c r="C71" s="36">
        <f>C36*$C$24</f>
        <v>300</v>
      </c>
      <c r="D71" s="36">
        <f>D36*$C$24</f>
        <v>300</v>
      </c>
      <c r="E71" s="36">
        <f>E36*$C$24</f>
        <v>300</v>
      </c>
      <c r="F71" s="36">
        <f>F36*$C$24</f>
        <v>300</v>
      </c>
      <c r="G71" s="37">
        <f>G36*$C$24</f>
        <v>300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"/>
  <sheetViews>
    <sheetView topLeftCell="B25" workbookViewId="0">
      <selection activeCell="H41" sqref="H41"/>
    </sheetView>
  </sheetViews>
  <sheetFormatPr defaultRowHeight="14.5" x14ac:dyDescent="0.35"/>
  <cols>
    <col min="1" max="1" width="23" bestFit="1" customWidth="1"/>
    <col min="2" max="2" width="35.26953125" bestFit="1" customWidth="1"/>
    <col min="3" max="3" width="12.7265625" bestFit="1" customWidth="1"/>
    <col min="4" max="5" width="12.26953125" bestFit="1" customWidth="1"/>
    <col min="6" max="6" width="12.1796875" bestFit="1" customWidth="1"/>
    <col min="7" max="8" width="12.08984375" bestFit="1" customWidth="1"/>
    <col min="9" max="9" width="11.08984375" bestFit="1" customWidth="1"/>
  </cols>
  <sheetData>
    <row r="1" spans="1:7" x14ac:dyDescent="0.35">
      <c r="A1" t="s">
        <v>53</v>
      </c>
    </row>
    <row r="2" spans="1:7" x14ac:dyDescent="0.35">
      <c r="A2" s="1">
        <v>42466</v>
      </c>
    </row>
    <row r="3" spans="1:7" x14ac:dyDescent="0.35">
      <c r="A3" t="s">
        <v>54</v>
      </c>
    </row>
    <row r="4" spans="1:7" ht="15" thickBot="1" x14ac:dyDescent="0.4">
      <c r="B4" s="14" t="s">
        <v>0</v>
      </c>
      <c r="C4" s="4"/>
      <c r="D4" s="4"/>
      <c r="E4" s="4"/>
      <c r="F4" s="4"/>
      <c r="G4" s="4"/>
    </row>
    <row r="5" spans="1:7" ht="15" thickBot="1" x14ac:dyDescent="0.4">
      <c r="B5" s="9" t="s">
        <v>47</v>
      </c>
      <c r="C5" s="10">
        <f>0</f>
        <v>0</v>
      </c>
      <c r="D5" s="10">
        <f>1</f>
        <v>1</v>
      </c>
      <c r="E5" s="10">
        <f>2</f>
        <v>2</v>
      </c>
      <c r="F5" s="10">
        <f>3</f>
        <v>3</v>
      </c>
      <c r="G5" s="11">
        <f>4</f>
        <v>4</v>
      </c>
    </row>
    <row r="6" spans="1:7" ht="15" thickBot="1" x14ac:dyDescent="0.4">
      <c r="B6" s="27" t="s">
        <v>1</v>
      </c>
      <c r="C6" s="2"/>
      <c r="D6" s="2"/>
      <c r="E6" s="2"/>
      <c r="F6" s="2"/>
      <c r="G6" s="3"/>
    </row>
    <row r="7" spans="1:7" x14ac:dyDescent="0.35">
      <c r="B7" s="25" t="s">
        <v>2</v>
      </c>
      <c r="C7" s="19">
        <v>20000</v>
      </c>
      <c r="D7" s="2"/>
      <c r="E7" s="2"/>
      <c r="F7" s="2"/>
      <c r="G7" s="3"/>
    </row>
    <row r="8" spans="1:7" x14ac:dyDescent="0.35">
      <c r="B8" s="25" t="s">
        <v>3</v>
      </c>
      <c r="C8" s="20">
        <v>50000</v>
      </c>
      <c r="D8" s="4"/>
      <c r="E8" s="4"/>
      <c r="F8" s="4"/>
      <c r="G8" s="5"/>
    </row>
    <row r="9" spans="1:7" x14ac:dyDescent="0.35">
      <c r="B9" s="25" t="s">
        <v>4</v>
      </c>
      <c r="C9" s="20">
        <v>10000</v>
      </c>
      <c r="D9" s="4"/>
      <c r="E9" s="4"/>
      <c r="F9" s="4"/>
      <c r="G9" s="5"/>
    </row>
    <row r="10" spans="1:7" x14ac:dyDescent="0.35">
      <c r="B10" s="25" t="s">
        <v>5</v>
      </c>
      <c r="C10" s="20">
        <v>20000</v>
      </c>
      <c r="D10" s="4"/>
      <c r="E10" s="4"/>
      <c r="F10" s="4"/>
      <c r="G10" s="5"/>
    </row>
    <row r="11" spans="1:7" ht="15" thickBot="1" x14ac:dyDescent="0.4">
      <c r="B11" s="28" t="s">
        <v>55</v>
      </c>
      <c r="C11" s="21">
        <v>250</v>
      </c>
      <c r="D11" s="6"/>
      <c r="E11" s="6"/>
      <c r="F11" s="6"/>
      <c r="G11" s="7"/>
    </row>
    <row r="12" spans="1:7" ht="15" thickBot="1" x14ac:dyDescent="0.4"/>
    <row r="13" spans="1:7" x14ac:dyDescent="0.35">
      <c r="B13" s="24" t="s">
        <v>6</v>
      </c>
      <c r="C13" s="3"/>
      <c r="D13" s="4"/>
      <c r="E13" s="4"/>
      <c r="F13" s="4"/>
      <c r="G13" s="4"/>
    </row>
    <row r="14" spans="1:7" x14ac:dyDescent="0.35">
      <c r="B14" s="25" t="s">
        <v>7</v>
      </c>
      <c r="C14" s="23">
        <v>100</v>
      </c>
      <c r="D14" s="4"/>
      <c r="E14" s="4"/>
      <c r="F14" s="4"/>
      <c r="G14" s="4"/>
    </row>
    <row r="15" spans="1:7" x14ac:dyDescent="0.35">
      <c r="B15" s="25" t="s">
        <v>8</v>
      </c>
      <c r="C15" s="17">
        <v>0.01</v>
      </c>
      <c r="D15" s="4"/>
      <c r="E15" s="4"/>
      <c r="F15" s="4"/>
      <c r="G15" s="4"/>
    </row>
    <row r="16" spans="1:7" x14ac:dyDescent="0.35">
      <c r="B16" s="25" t="s">
        <v>9</v>
      </c>
      <c r="C16" s="23">
        <v>250</v>
      </c>
      <c r="D16" s="4"/>
      <c r="E16" s="4"/>
      <c r="F16" s="4"/>
      <c r="G16" s="4"/>
    </row>
    <row r="17" spans="2:7" x14ac:dyDescent="0.35">
      <c r="B17" s="25" t="s">
        <v>10</v>
      </c>
      <c r="C17" s="17">
        <v>0.03</v>
      </c>
      <c r="D17" s="4"/>
      <c r="E17" s="4"/>
      <c r="F17" s="4"/>
      <c r="G17" s="4"/>
    </row>
    <row r="18" spans="2:7" x14ac:dyDescent="0.35">
      <c r="B18" s="25" t="s">
        <v>11</v>
      </c>
      <c r="C18" s="5">
        <v>3</v>
      </c>
      <c r="D18" s="4"/>
      <c r="E18" s="4"/>
      <c r="F18" s="4"/>
      <c r="G18" s="4"/>
    </row>
    <row r="19" spans="2:7" x14ac:dyDescent="0.35">
      <c r="B19" s="25" t="s">
        <v>12</v>
      </c>
      <c r="C19" s="5">
        <v>27</v>
      </c>
      <c r="D19" s="4"/>
      <c r="E19" s="4"/>
      <c r="F19" s="4"/>
      <c r="G19" s="4"/>
    </row>
    <row r="20" spans="2:7" x14ac:dyDescent="0.35">
      <c r="B20" s="25" t="s">
        <v>13</v>
      </c>
      <c r="C20" s="23">
        <v>20</v>
      </c>
      <c r="D20" s="4"/>
      <c r="E20" s="4"/>
      <c r="F20" s="4"/>
      <c r="G20" s="4"/>
    </row>
    <row r="21" spans="2:7" x14ac:dyDescent="0.35">
      <c r="B21" s="25" t="s">
        <v>14</v>
      </c>
      <c r="C21" s="23">
        <v>500000</v>
      </c>
      <c r="D21" s="4"/>
      <c r="E21" s="4"/>
      <c r="F21" s="4"/>
      <c r="G21" s="4"/>
    </row>
    <row r="22" spans="2:7" x14ac:dyDescent="0.35">
      <c r="B22" s="25" t="s">
        <v>15</v>
      </c>
      <c r="C22" s="17">
        <v>0.05</v>
      </c>
      <c r="D22" s="4"/>
      <c r="E22" s="4"/>
      <c r="F22" s="4"/>
      <c r="G22" s="4"/>
    </row>
    <row r="23" spans="2:7" x14ac:dyDescent="0.35">
      <c r="B23" s="25" t="s">
        <v>16</v>
      </c>
      <c r="C23" s="5">
        <v>30</v>
      </c>
      <c r="D23" s="4"/>
      <c r="E23" s="4"/>
      <c r="F23" s="4"/>
      <c r="G23" s="4"/>
    </row>
    <row r="24" spans="2:7" x14ac:dyDescent="0.35">
      <c r="B24" s="25" t="s">
        <v>17</v>
      </c>
      <c r="C24" s="17">
        <v>0.2</v>
      </c>
      <c r="D24" s="4"/>
      <c r="E24" s="4"/>
      <c r="F24" s="4"/>
      <c r="G24" s="4"/>
    </row>
    <row r="25" spans="2:7" ht="15" thickBot="1" x14ac:dyDescent="0.4">
      <c r="B25" s="26" t="s">
        <v>48</v>
      </c>
      <c r="C25" s="18">
        <v>0.05</v>
      </c>
      <c r="D25" s="4"/>
      <c r="E25" s="4"/>
      <c r="F25" s="4"/>
      <c r="G25" s="4"/>
    </row>
    <row r="26" spans="2:7" ht="15" thickBot="1" x14ac:dyDescent="0.4"/>
    <row r="27" spans="2:7" x14ac:dyDescent="0.35">
      <c r="B27" s="8" t="s">
        <v>18</v>
      </c>
      <c r="C27" s="3"/>
      <c r="D27" s="4"/>
      <c r="E27" s="4"/>
      <c r="F27" s="4"/>
      <c r="G27" s="4"/>
    </row>
    <row r="28" spans="2:7" x14ac:dyDescent="0.35">
      <c r="B28" s="25" t="s">
        <v>19</v>
      </c>
      <c r="C28" s="5">
        <v>150</v>
      </c>
      <c r="D28" s="4"/>
      <c r="E28" s="4"/>
      <c r="F28" s="4"/>
      <c r="G28" s="4"/>
    </row>
    <row r="29" spans="2:7" x14ac:dyDescent="0.35">
      <c r="B29" s="25"/>
      <c r="C29" s="5">
        <v>5</v>
      </c>
      <c r="D29" s="4"/>
      <c r="E29" s="4"/>
      <c r="F29" s="4"/>
      <c r="G29" s="4"/>
    </row>
    <row r="30" spans="2:7" x14ac:dyDescent="0.35">
      <c r="B30" s="25"/>
      <c r="C30" s="5">
        <v>6</v>
      </c>
      <c r="D30" s="4"/>
      <c r="E30" s="4"/>
      <c r="F30" s="4"/>
      <c r="G30" s="4"/>
    </row>
    <row r="31" spans="2:7" x14ac:dyDescent="0.35">
      <c r="B31" s="25"/>
      <c r="C31" s="5">
        <v>-1</v>
      </c>
      <c r="D31" s="4"/>
      <c r="E31" s="4"/>
      <c r="F31" s="4"/>
      <c r="G31" s="4"/>
    </row>
    <row r="32" spans="2:7" ht="15" thickBot="1" x14ac:dyDescent="0.4">
      <c r="B32" s="28" t="s">
        <v>20</v>
      </c>
      <c r="C32" s="7">
        <v>20</v>
      </c>
      <c r="D32" s="4"/>
      <c r="E32" s="4"/>
      <c r="F32" s="4"/>
      <c r="G32" s="4"/>
    </row>
    <row r="33" spans="2:11" x14ac:dyDescent="0.35">
      <c r="B33" s="4"/>
      <c r="C33" s="4"/>
      <c r="D33" s="4"/>
      <c r="E33" s="4"/>
      <c r="F33" s="4"/>
      <c r="G33" s="4"/>
    </row>
    <row r="35" spans="2:11" ht="15" thickBot="1" x14ac:dyDescent="0.4">
      <c r="B35" s="13" t="s">
        <v>21</v>
      </c>
      <c r="C35" s="4"/>
      <c r="D35" s="4"/>
      <c r="E35" s="4"/>
      <c r="F35" s="4"/>
      <c r="G35" s="4"/>
    </row>
    <row r="36" spans="2:11" x14ac:dyDescent="0.35">
      <c r="B36" s="57" t="s">
        <v>22</v>
      </c>
      <c r="C36" s="52">
        <v>1500</v>
      </c>
      <c r="D36" s="52">
        <v>1500</v>
      </c>
      <c r="E36" s="52">
        <v>1500</v>
      </c>
      <c r="F36" s="52">
        <v>1500</v>
      </c>
      <c r="G36" s="53">
        <v>1500</v>
      </c>
      <c r="K36" s="12"/>
    </row>
    <row r="37" spans="2:11" x14ac:dyDescent="0.35">
      <c r="B37" s="25" t="s">
        <v>23</v>
      </c>
      <c r="C37" s="54">
        <v>58644.914106406126</v>
      </c>
      <c r="D37" s="54">
        <v>83990.548123678906</v>
      </c>
      <c r="E37" s="54">
        <v>61703.069996686143</v>
      </c>
      <c r="F37" s="54">
        <v>53531.962118578231</v>
      </c>
      <c r="G37" s="22">
        <v>61886.280922529608</v>
      </c>
    </row>
    <row r="38" spans="2:11" ht="15" thickBot="1" x14ac:dyDescent="0.4">
      <c r="B38" s="26" t="s">
        <v>24</v>
      </c>
      <c r="C38" s="55">
        <v>300000</v>
      </c>
      <c r="D38" s="55">
        <v>100000</v>
      </c>
      <c r="E38" s="55">
        <v>100000</v>
      </c>
      <c r="F38" s="55">
        <v>0</v>
      </c>
      <c r="G38" s="56">
        <v>0</v>
      </c>
    </row>
    <row r="40" spans="2:11" ht="15" thickBot="1" x14ac:dyDescent="0.4">
      <c r="B40" s="15" t="s">
        <v>25</v>
      </c>
      <c r="C40" s="4"/>
      <c r="D40" s="4"/>
      <c r="E40" s="4"/>
      <c r="F40" s="4"/>
      <c r="G40" s="4"/>
      <c r="H40" t="s">
        <v>46</v>
      </c>
      <c r="I40" t="s">
        <v>52</v>
      </c>
    </row>
    <row r="41" spans="2:11" x14ac:dyDescent="0.35">
      <c r="B41" s="25" t="s">
        <v>26</v>
      </c>
      <c r="C41" s="44">
        <f>C60</f>
        <v>-106694.91410640616</v>
      </c>
      <c r="D41" s="19">
        <f t="shared" ref="D41:G41" si="0">D60</f>
        <v>68625.951876321109</v>
      </c>
      <c r="E41" s="19">
        <f t="shared" si="0"/>
        <v>110396.60000331386</v>
      </c>
      <c r="F41" s="19">
        <f t="shared" si="0"/>
        <v>112000.93858142174</v>
      </c>
      <c r="G41" s="45">
        <f t="shared" si="0"/>
        <v>96895.149804470362</v>
      </c>
      <c r="H41" s="46">
        <f>SUM(C41:G41)</f>
        <v>281223.72615912091</v>
      </c>
      <c r="I41" s="46">
        <f>H41/5</f>
        <v>56244.745231824185</v>
      </c>
    </row>
    <row r="42" spans="2:11" x14ac:dyDescent="0.35">
      <c r="B42" s="25" t="s">
        <v>51</v>
      </c>
      <c r="C42" s="47">
        <f>IF(C41&gt;0,(C41/(1+$C$25)),-(C38-(C43/(1+$C$25))))</f>
        <v>-115899.91819657729</v>
      </c>
      <c r="D42" s="20">
        <f>D41/(1+$C$25)^(1+D5)</f>
        <v>62245.761339066761</v>
      </c>
      <c r="E42" s="20">
        <f t="shared" ref="E42:F42" si="1">E41/(1+$C$25)^(1+E5)</f>
        <v>95364.733832902581</v>
      </c>
      <c r="F42" s="20">
        <f t="shared" si="1"/>
        <v>92143.449349949238</v>
      </c>
      <c r="G42" s="48">
        <f>G41/(1+$C$25)^(1+G5)</f>
        <v>75919.885275683715</v>
      </c>
      <c r="H42" s="46">
        <f>SUM(C42:G42)</f>
        <v>209773.911601025</v>
      </c>
      <c r="I42" s="46">
        <f>H42/5</f>
        <v>41954.782320204999</v>
      </c>
    </row>
    <row r="43" spans="2:11" ht="15" thickBot="1" x14ac:dyDescent="0.4">
      <c r="B43" s="26" t="s">
        <v>49</v>
      </c>
      <c r="C43" s="49">
        <f>C38+C60</f>
        <v>193305.08589359384</v>
      </c>
      <c r="D43" s="49">
        <f>D38+C43+D60</f>
        <v>361931.03776991495</v>
      </c>
      <c r="E43" s="49">
        <f>E38+D43+E60</f>
        <v>572327.63777322881</v>
      </c>
      <c r="F43" s="49">
        <f t="shared" ref="F43:G43" si="2">E43+F60</f>
        <v>684328.57635465055</v>
      </c>
      <c r="G43" s="50">
        <f t="shared" si="2"/>
        <v>781223.72615912091</v>
      </c>
      <c r="H43" s="51"/>
      <c r="I43" s="51"/>
    </row>
    <row r="45" spans="2:11" ht="15" thickBot="1" x14ac:dyDescent="0.4">
      <c r="B45" s="16" t="s">
        <v>27</v>
      </c>
      <c r="C45" s="4"/>
      <c r="D45" s="4"/>
      <c r="E45" s="4"/>
      <c r="F45" s="4"/>
      <c r="G45" s="4"/>
    </row>
    <row r="46" spans="2:11" x14ac:dyDescent="0.35">
      <c r="B46" s="29" t="s">
        <v>28</v>
      </c>
      <c r="C46" s="40">
        <f>$C$28*($C$29+($C$30*(C5))+($C$31*((C5)^2)))</f>
        <v>750</v>
      </c>
      <c r="D46" s="40">
        <f>$C$28*($C$29+($C$30*(D5))+($C$31*((D5)^2)))</f>
        <v>1500</v>
      </c>
      <c r="E46" s="40">
        <f>$C$28*($C$29+($C$30*(E5))+($C$31*((E5)^2)))</f>
        <v>1950</v>
      </c>
      <c r="F46" s="40">
        <f>$C$28*($C$29+($C$30*(F5))+($C$31*((F5)^2)))</f>
        <v>2100</v>
      </c>
      <c r="G46" s="41">
        <f>$C$28*($C$29+($C$30*(G5))+($C$31*((G5)^2)))</f>
        <v>1950</v>
      </c>
    </row>
    <row r="47" spans="2:11" x14ac:dyDescent="0.35">
      <c r="B47" s="30" t="s">
        <v>29</v>
      </c>
      <c r="C47" s="42">
        <f>$C$32^(1-(1/(C37/10000)))</f>
        <v>12.000000428388651</v>
      </c>
      <c r="D47" s="42">
        <f t="shared" ref="D47:G47" si="3">$C$32^(1-(1/(D37/10000)))</f>
        <v>14.00000021800064</v>
      </c>
      <c r="E47" s="42">
        <f t="shared" si="3"/>
        <v>12.307692308804647</v>
      </c>
      <c r="F47" s="42">
        <f t="shared" si="3"/>
        <v>11.428573227267872</v>
      </c>
      <c r="G47" s="43">
        <f t="shared" si="3"/>
        <v>12.325395109837434</v>
      </c>
    </row>
    <row r="48" spans="2:11" x14ac:dyDescent="0.35">
      <c r="B48" s="30" t="s">
        <v>30</v>
      </c>
      <c r="C48" s="42">
        <f>INT((C47/100)*C46)</f>
        <v>90</v>
      </c>
      <c r="D48" s="42">
        <f t="shared" ref="D48:G48" si="4">INT((D47/100)*D46)</f>
        <v>210</v>
      </c>
      <c r="E48" s="42">
        <f t="shared" si="4"/>
        <v>240</v>
      </c>
      <c r="F48" s="42">
        <f t="shared" si="4"/>
        <v>240</v>
      </c>
      <c r="G48" s="43">
        <f t="shared" si="4"/>
        <v>240</v>
      </c>
    </row>
    <row r="49" spans="2:7" x14ac:dyDescent="0.35">
      <c r="B49" s="25"/>
      <c r="C49" s="4"/>
      <c r="D49" s="4"/>
      <c r="E49" s="4"/>
      <c r="F49" s="4"/>
      <c r="G49" s="5"/>
    </row>
    <row r="50" spans="2:7" x14ac:dyDescent="0.35">
      <c r="B50" s="31" t="s">
        <v>31</v>
      </c>
      <c r="C50" s="38">
        <f>C16</f>
        <v>250</v>
      </c>
      <c r="D50" s="38">
        <f>C50*(1+$C$17)</f>
        <v>257.5</v>
      </c>
      <c r="E50" s="38">
        <f t="shared" ref="E50:G50" si="5">D50*(1+$C$17)</f>
        <v>265.22500000000002</v>
      </c>
      <c r="F50" s="38">
        <f t="shared" si="5"/>
        <v>273.18175000000002</v>
      </c>
      <c r="G50" s="39">
        <f t="shared" si="5"/>
        <v>281.37720250000001</v>
      </c>
    </row>
    <row r="51" spans="2:7" x14ac:dyDescent="0.35">
      <c r="B51" s="31" t="s">
        <v>32</v>
      </c>
      <c r="C51" s="38">
        <f>C14</f>
        <v>100</v>
      </c>
      <c r="D51" s="38">
        <f>C51*(1+$C$15)</f>
        <v>101</v>
      </c>
      <c r="E51" s="38">
        <f t="shared" ref="E51:G51" si="6">D51*(1+$C$15)</f>
        <v>102.01</v>
      </c>
      <c r="F51" s="38">
        <f t="shared" si="6"/>
        <v>103.0301</v>
      </c>
      <c r="G51" s="39">
        <f t="shared" si="6"/>
        <v>104.060401</v>
      </c>
    </row>
    <row r="52" spans="2:7" x14ac:dyDescent="0.35">
      <c r="B52" s="31" t="s">
        <v>33</v>
      </c>
      <c r="C52" s="38">
        <f>C21</f>
        <v>500000</v>
      </c>
      <c r="D52" s="38">
        <f>C52*(1+$C$17)</f>
        <v>515000</v>
      </c>
      <c r="E52" s="38">
        <f t="shared" ref="E52:G52" si="7">D52*(1+$C$17)</f>
        <v>530450</v>
      </c>
      <c r="F52" s="38">
        <f t="shared" si="7"/>
        <v>546363.5</v>
      </c>
      <c r="G52" s="39">
        <f t="shared" si="7"/>
        <v>562754.40500000003</v>
      </c>
    </row>
    <row r="53" spans="2:7" x14ac:dyDescent="0.35">
      <c r="B53" s="31" t="s">
        <v>45</v>
      </c>
      <c r="C53" s="38">
        <f>C20</f>
        <v>20</v>
      </c>
      <c r="D53" s="38">
        <f>C53*(1+$C$15)</f>
        <v>20.2</v>
      </c>
      <c r="E53" s="38">
        <f t="shared" ref="E53:G53" si="8">D53*(1+$C$15)</f>
        <v>20.402000000000001</v>
      </c>
      <c r="F53" s="38">
        <f t="shared" si="8"/>
        <v>20.606020000000001</v>
      </c>
      <c r="G53" s="39">
        <f t="shared" si="8"/>
        <v>20.8120802</v>
      </c>
    </row>
    <row r="54" spans="2:7" x14ac:dyDescent="0.35">
      <c r="B54" s="31" t="s">
        <v>2</v>
      </c>
      <c r="C54" s="38">
        <f>IF(C48&lt;=C11,20000,40000)</f>
        <v>20000</v>
      </c>
      <c r="D54" s="38">
        <f>IF(D48&lt;=250,0,20000)</f>
        <v>0</v>
      </c>
      <c r="E54" s="38">
        <f>IF(D54&gt;0,0,IF(E48&gt;=250,20000,0))</f>
        <v>0</v>
      </c>
      <c r="F54" s="38">
        <f>IF(SUM(D54:E54)&gt;0,0,IF(F48&gt;=250,20000,0))</f>
        <v>0</v>
      </c>
      <c r="G54" s="39">
        <f>IF(SUM(D54:F54)&gt;0,0,IF(G48&gt;=250,20000,0))</f>
        <v>0</v>
      </c>
    </row>
    <row r="55" spans="2:7" x14ac:dyDescent="0.35">
      <c r="B55" s="31" t="s">
        <v>3</v>
      </c>
      <c r="C55" s="38">
        <v>50000</v>
      </c>
      <c r="D55" s="38">
        <v>0</v>
      </c>
      <c r="E55" s="38">
        <v>0</v>
      </c>
      <c r="F55" s="38">
        <v>0</v>
      </c>
      <c r="G55" s="39">
        <v>0</v>
      </c>
    </row>
    <row r="56" spans="2:7" x14ac:dyDescent="0.35">
      <c r="B56" s="31" t="s">
        <v>4</v>
      </c>
      <c r="C56" s="38">
        <v>10000</v>
      </c>
      <c r="D56" s="38">
        <v>0</v>
      </c>
      <c r="E56" s="38">
        <v>0</v>
      </c>
      <c r="F56" s="38">
        <v>0</v>
      </c>
      <c r="G56" s="39">
        <v>0</v>
      </c>
    </row>
    <row r="57" spans="2:7" x14ac:dyDescent="0.35">
      <c r="B57" s="31" t="s">
        <v>5</v>
      </c>
      <c r="C57" s="38">
        <v>20000</v>
      </c>
      <c r="D57" s="38">
        <f>IF(D48&lt;=250,0,20000)</f>
        <v>0</v>
      </c>
      <c r="E57" s="38">
        <f>IF(D57&gt;0,0,IF(E48&gt;=250,20000,0))</f>
        <v>0</v>
      </c>
      <c r="F57" s="38">
        <f>IF(SUM(D57:E57)&gt;0,0,IF(F48&gt;=250,20000,0))</f>
        <v>0</v>
      </c>
      <c r="G57" s="39">
        <f>IF(SUM(D57:F57)&gt;0,0,IF(G48&gt;=250,20000,0))</f>
        <v>0</v>
      </c>
    </row>
    <row r="58" spans="2:7" x14ac:dyDescent="0.35">
      <c r="B58" s="31" t="s">
        <v>34</v>
      </c>
      <c r="C58" s="38">
        <f>C50*$C$18*$C$19</f>
        <v>20250</v>
      </c>
      <c r="D58" s="38">
        <f>D50*$C$18*$C$19</f>
        <v>20857.5</v>
      </c>
      <c r="E58" s="38">
        <f>E50*$C$18*$C$19</f>
        <v>21483.225000000002</v>
      </c>
      <c r="F58" s="38">
        <f>F50*$C$18*$C$19</f>
        <v>22127.721750000004</v>
      </c>
      <c r="G58" s="39">
        <f>G50*$C$18*$C$19</f>
        <v>22791.553402499998</v>
      </c>
    </row>
    <row r="59" spans="2:7" x14ac:dyDescent="0.35">
      <c r="B59" s="25"/>
      <c r="C59" s="4"/>
      <c r="D59" s="4"/>
      <c r="E59" s="4"/>
      <c r="F59" s="4"/>
      <c r="G59" s="5"/>
    </row>
    <row r="60" spans="2:7" x14ac:dyDescent="0.35">
      <c r="B60" s="32" t="s">
        <v>26</v>
      </c>
      <c r="C60" s="34">
        <f>C69-C61</f>
        <v>-106694.91410640616</v>
      </c>
      <c r="D60" s="34">
        <f>D69-D61</f>
        <v>68625.951876321109</v>
      </c>
      <c r="E60" s="34">
        <f>E69-E61</f>
        <v>110396.60000331386</v>
      </c>
      <c r="F60" s="34">
        <f>F69-F61</f>
        <v>112000.93858142174</v>
      </c>
      <c r="G60" s="35">
        <f>G69-G61</f>
        <v>96895.149804470362</v>
      </c>
    </row>
    <row r="61" spans="2:7" x14ac:dyDescent="0.35">
      <c r="B61" s="32" t="s">
        <v>35</v>
      </c>
      <c r="C61" s="34">
        <f>SUM(C62,C68)</f>
        <v>268694.91410640616</v>
      </c>
      <c r="D61" s="34">
        <f>SUM(D62,D68)</f>
        <v>309374.04812367889</v>
      </c>
      <c r="E61" s="34">
        <f>SUM(E62,E68)</f>
        <v>321603.39999668614</v>
      </c>
      <c r="F61" s="34">
        <f>SUM(F62,F68)</f>
        <v>319999.06141857826</v>
      </c>
      <c r="G61" s="35">
        <f>SUM(G62,G68)</f>
        <v>335104.85019552964</v>
      </c>
    </row>
    <row r="62" spans="2:7" x14ac:dyDescent="0.35">
      <c r="B62" s="32" t="s">
        <v>36</v>
      </c>
      <c r="C62" s="34">
        <f>SUM(C63:C67)</f>
        <v>168694.91410640613</v>
      </c>
      <c r="D62" s="34">
        <f t="shared" ref="D62:G62" si="9">SUM(D63:D67)</f>
        <v>309374.04812367889</v>
      </c>
      <c r="E62" s="34">
        <f t="shared" si="9"/>
        <v>321603.39999668614</v>
      </c>
      <c r="F62" s="34">
        <f t="shared" si="9"/>
        <v>319999.06141857826</v>
      </c>
      <c r="G62" s="35">
        <f t="shared" si="9"/>
        <v>335104.85019552964</v>
      </c>
    </row>
    <row r="63" spans="2:7" x14ac:dyDescent="0.35">
      <c r="B63" s="32" t="s">
        <v>37</v>
      </c>
      <c r="C63" s="34">
        <f>C52*$C$22</f>
        <v>25000</v>
      </c>
      <c r="D63" s="34">
        <f t="shared" ref="D63:G63" si="10">D52*$C$22</f>
        <v>25750</v>
      </c>
      <c r="E63" s="34">
        <f t="shared" si="10"/>
        <v>26522.5</v>
      </c>
      <c r="F63" s="34">
        <f t="shared" si="10"/>
        <v>27318.175000000003</v>
      </c>
      <c r="G63" s="35">
        <f t="shared" si="10"/>
        <v>28137.720250000002</v>
      </c>
    </row>
    <row r="64" spans="2:7" x14ac:dyDescent="0.35">
      <c r="B64" s="32" t="s">
        <v>38</v>
      </c>
      <c r="C64" s="34">
        <f>C51*$C$19</f>
        <v>2700</v>
      </c>
      <c r="D64" s="34">
        <f t="shared" ref="D64:G64" si="11">D51*$C$19</f>
        <v>2727</v>
      </c>
      <c r="E64" s="34">
        <f t="shared" si="11"/>
        <v>2754.27</v>
      </c>
      <c r="F64" s="34">
        <f t="shared" si="11"/>
        <v>2781.8126999999999</v>
      </c>
      <c r="G64" s="35">
        <f t="shared" si="11"/>
        <v>2809.630827</v>
      </c>
    </row>
    <row r="65" spans="2:7" x14ac:dyDescent="0.35">
      <c r="B65" s="32" t="s">
        <v>39</v>
      </c>
      <c r="C65" s="34">
        <f>C53*12*C48</f>
        <v>21600</v>
      </c>
      <c r="D65" s="34">
        <f t="shared" ref="D65:G65" si="12">D53*12*D48</f>
        <v>50903.999999999993</v>
      </c>
      <c r="E65" s="34">
        <f t="shared" si="12"/>
        <v>58757.760000000002</v>
      </c>
      <c r="F65" s="34">
        <f t="shared" si="12"/>
        <v>59345.337599999999</v>
      </c>
      <c r="G65" s="35">
        <f t="shared" si="12"/>
        <v>59938.790976000004</v>
      </c>
    </row>
    <row r="66" spans="2:7" x14ac:dyDescent="0.35">
      <c r="B66" s="32" t="s">
        <v>40</v>
      </c>
      <c r="C66" s="34">
        <f>C58*_xlfn.CEILING.MATH(C48/$C$23)</f>
        <v>60750</v>
      </c>
      <c r="D66" s="34">
        <f>D58*_xlfn.CEILING.MATH(D48/$C$23)</f>
        <v>146002.5</v>
      </c>
      <c r="E66" s="34">
        <f>E58*_xlfn.CEILING.MATH(E48/$C$23)</f>
        <v>171865.80000000002</v>
      </c>
      <c r="F66" s="34">
        <f>F58*_xlfn.CEILING.MATH(F48/$C$23)</f>
        <v>177021.77400000003</v>
      </c>
      <c r="G66" s="35">
        <f>G58*_xlfn.CEILING.MATH(G48/$C$23)</f>
        <v>182332.42721999998</v>
      </c>
    </row>
    <row r="67" spans="2:7" x14ac:dyDescent="0.35">
      <c r="B67" s="32" t="s">
        <v>41</v>
      </c>
      <c r="C67" s="34">
        <f>C37</f>
        <v>58644.914106406126</v>
      </c>
      <c r="D67" s="34">
        <f t="shared" ref="D67:G67" si="13">D37</f>
        <v>83990.548123678906</v>
      </c>
      <c r="E67" s="34">
        <f t="shared" si="13"/>
        <v>61703.069996686143</v>
      </c>
      <c r="F67" s="34">
        <f t="shared" si="13"/>
        <v>53531.962118578231</v>
      </c>
      <c r="G67" s="34">
        <f t="shared" si="13"/>
        <v>61886.280922529608</v>
      </c>
    </row>
    <row r="68" spans="2:7" x14ac:dyDescent="0.35">
      <c r="B68" s="32" t="s">
        <v>42</v>
      </c>
      <c r="C68" s="34">
        <f>SUM(C54:C57)</f>
        <v>100000</v>
      </c>
      <c r="D68" s="34">
        <f>SUM(D54:D57)</f>
        <v>0</v>
      </c>
      <c r="E68" s="34">
        <f>SUM(E54:E57)</f>
        <v>0</v>
      </c>
      <c r="F68" s="34">
        <f>SUM(F54:F57)</f>
        <v>0</v>
      </c>
      <c r="G68" s="35">
        <f>SUM(G54:G57)</f>
        <v>0</v>
      </c>
    </row>
    <row r="69" spans="2:7" x14ac:dyDescent="0.35">
      <c r="B69" s="32" t="s">
        <v>43</v>
      </c>
      <c r="C69" s="34">
        <f>C70*C48</f>
        <v>162000</v>
      </c>
      <c r="D69" s="34">
        <f>D70*D48</f>
        <v>378000</v>
      </c>
      <c r="E69" s="34">
        <f>E70*E48</f>
        <v>432000</v>
      </c>
      <c r="F69" s="34">
        <f>F70*F48</f>
        <v>432000</v>
      </c>
      <c r="G69" s="35">
        <f>G70*G48</f>
        <v>432000</v>
      </c>
    </row>
    <row r="70" spans="2:7" x14ac:dyDescent="0.35">
      <c r="B70" s="32" t="s">
        <v>50</v>
      </c>
      <c r="C70" s="34">
        <f>C36+C71</f>
        <v>1800</v>
      </c>
      <c r="D70" s="34">
        <f>D36+D71</f>
        <v>1800</v>
      </c>
      <c r="E70" s="34">
        <f>E36+E71</f>
        <v>1800</v>
      </c>
      <c r="F70" s="34">
        <f>F36+F71</f>
        <v>1800</v>
      </c>
      <c r="G70" s="35">
        <f>G36+G71</f>
        <v>1800</v>
      </c>
    </row>
    <row r="71" spans="2:7" ht="15" thickBot="1" x14ac:dyDescent="0.4">
      <c r="B71" s="33" t="s">
        <v>44</v>
      </c>
      <c r="C71" s="36">
        <f>C36*$C$24</f>
        <v>300</v>
      </c>
      <c r="D71" s="36">
        <f>D36*$C$24</f>
        <v>300</v>
      </c>
      <c r="E71" s="36">
        <f>E36*$C$24</f>
        <v>300</v>
      </c>
      <c r="F71" s="36">
        <f>F36*$C$24</f>
        <v>300</v>
      </c>
      <c r="G71" s="37">
        <f>G36*$C$24</f>
        <v>300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"/>
  <sheetViews>
    <sheetView topLeftCell="B1" workbookViewId="0">
      <selection activeCell="I3" sqref="I3"/>
    </sheetView>
  </sheetViews>
  <sheetFormatPr defaultRowHeight="14.5" x14ac:dyDescent="0.35"/>
  <cols>
    <col min="1" max="1" width="23" bestFit="1" customWidth="1"/>
    <col min="2" max="2" width="35.26953125" bestFit="1" customWidth="1"/>
    <col min="3" max="3" width="12.7265625" bestFit="1" customWidth="1"/>
    <col min="4" max="5" width="12.26953125" bestFit="1" customWidth="1"/>
    <col min="6" max="6" width="12.1796875" bestFit="1" customWidth="1"/>
    <col min="7" max="8" width="12.08984375" bestFit="1" customWidth="1"/>
    <col min="9" max="9" width="11.08984375" bestFit="1" customWidth="1"/>
  </cols>
  <sheetData>
    <row r="1" spans="1:7" x14ac:dyDescent="0.35">
      <c r="A1" t="s">
        <v>53</v>
      </c>
    </row>
    <row r="2" spans="1:7" x14ac:dyDescent="0.35">
      <c r="A2" s="1">
        <v>42466</v>
      </c>
    </row>
    <row r="3" spans="1:7" x14ac:dyDescent="0.35">
      <c r="A3" t="s">
        <v>54</v>
      </c>
    </row>
    <row r="4" spans="1:7" ht="15" thickBot="1" x14ac:dyDescent="0.4">
      <c r="B4" s="14" t="s">
        <v>0</v>
      </c>
      <c r="C4" s="4"/>
      <c r="D4" s="4"/>
      <c r="E4" s="4"/>
      <c r="F4" s="4"/>
      <c r="G4" s="4"/>
    </row>
    <row r="5" spans="1:7" ht="15" thickBot="1" x14ac:dyDescent="0.4">
      <c r="B5" s="9" t="s">
        <v>47</v>
      </c>
      <c r="C5" s="10">
        <f>0</f>
        <v>0</v>
      </c>
      <c r="D5" s="10">
        <f>1</f>
        <v>1</v>
      </c>
      <c r="E5" s="10">
        <f>2</f>
        <v>2</v>
      </c>
      <c r="F5" s="10">
        <f>3</f>
        <v>3</v>
      </c>
      <c r="G5" s="11">
        <f>4</f>
        <v>4</v>
      </c>
    </row>
    <row r="6" spans="1:7" ht="15" thickBot="1" x14ac:dyDescent="0.4">
      <c r="B6" s="27" t="s">
        <v>1</v>
      </c>
      <c r="C6" s="2"/>
      <c r="D6" s="2"/>
      <c r="E6" s="2"/>
      <c r="F6" s="2"/>
      <c r="G6" s="3"/>
    </row>
    <row r="7" spans="1:7" x14ac:dyDescent="0.35">
      <c r="B7" s="25" t="s">
        <v>2</v>
      </c>
      <c r="C7" s="19">
        <v>20000</v>
      </c>
      <c r="D7" s="2"/>
      <c r="E7" s="2"/>
      <c r="F7" s="2"/>
      <c r="G7" s="3"/>
    </row>
    <row r="8" spans="1:7" x14ac:dyDescent="0.35">
      <c r="B8" s="25" t="s">
        <v>3</v>
      </c>
      <c r="C8" s="20">
        <v>50000</v>
      </c>
      <c r="D8" s="4"/>
      <c r="E8" s="4"/>
      <c r="F8" s="4"/>
      <c r="G8" s="5"/>
    </row>
    <row r="9" spans="1:7" x14ac:dyDescent="0.35">
      <c r="B9" s="25" t="s">
        <v>4</v>
      </c>
      <c r="C9" s="20">
        <v>10000</v>
      </c>
      <c r="D9" s="4"/>
      <c r="E9" s="4"/>
      <c r="F9" s="4"/>
      <c r="G9" s="5"/>
    </row>
    <row r="10" spans="1:7" x14ac:dyDescent="0.35">
      <c r="B10" s="25" t="s">
        <v>5</v>
      </c>
      <c r="C10" s="20">
        <v>20000</v>
      </c>
      <c r="D10" s="4"/>
      <c r="E10" s="4"/>
      <c r="F10" s="4"/>
      <c r="G10" s="5"/>
    </row>
    <row r="11" spans="1:7" ht="15" thickBot="1" x14ac:dyDescent="0.4">
      <c r="B11" s="28" t="s">
        <v>55</v>
      </c>
      <c r="C11" s="21">
        <v>250</v>
      </c>
      <c r="D11" s="6"/>
      <c r="E11" s="6"/>
      <c r="F11" s="6"/>
      <c r="G11" s="7"/>
    </row>
    <row r="12" spans="1:7" ht="15" thickBot="1" x14ac:dyDescent="0.4"/>
    <row r="13" spans="1:7" x14ac:dyDescent="0.35">
      <c r="B13" s="24" t="s">
        <v>6</v>
      </c>
      <c r="C13" s="3"/>
      <c r="D13" s="4"/>
      <c r="E13" s="4"/>
      <c r="F13" s="4"/>
      <c r="G13" s="4"/>
    </row>
    <row r="14" spans="1:7" x14ac:dyDescent="0.35">
      <c r="B14" s="25" t="s">
        <v>7</v>
      </c>
      <c r="C14" s="23">
        <v>100</v>
      </c>
      <c r="D14" s="4"/>
      <c r="E14" s="4"/>
      <c r="F14" s="4"/>
      <c r="G14" s="4"/>
    </row>
    <row r="15" spans="1:7" x14ac:dyDescent="0.35">
      <c r="B15" s="25" t="s">
        <v>8</v>
      </c>
      <c r="C15" s="17">
        <v>0.01</v>
      </c>
      <c r="D15" s="4"/>
      <c r="E15" s="4"/>
      <c r="F15" s="4"/>
      <c r="G15" s="4"/>
    </row>
    <row r="16" spans="1:7" x14ac:dyDescent="0.35">
      <c r="B16" s="25" t="s">
        <v>9</v>
      </c>
      <c r="C16" s="23">
        <v>250</v>
      </c>
      <c r="D16" s="4"/>
      <c r="E16" s="4"/>
      <c r="F16" s="4"/>
      <c r="G16" s="4"/>
    </row>
    <row r="17" spans="2:7" x14ac:dyDescent="0.35">
      <c r="B17" s="25" t="s">
        <v>10</v>
      </c>
      <c r="C17" s="17">
        <v>0.03</v>
      </c>
      <c r="D17" s="4"/>
      <c r="E17" s="4"/>
      <c r="F17" s="4"/>
      <c r="G17" s="4"/>
    </row>
    <row r="18" spans="2:7" x14ac:dyDescent="0.35">
      <c r="B18" s="25" t="s">
        <v>11</v>
      </c>
      <c r="C18" s="5">
        <v>3</v>
      </c>
      <c r="D18" s="4"/>
      <c r="E18" s="4"/>
      <c r="F18" s="4"/>
      <c r="G18" s="4"/>
    </row>
    <row r="19" spans="2:7" x14ac:dyDescent="0.35">
      <c r="B19" s="25" t="s">
        <v>12</v>
      </c>
      <c r="C19" s="5">
        <v>27</v>
      </c>
      <c r="D19" s="4"/>
      <c r="E19" s="4"/>
      <c r="F19" s="4"/>
      <c r="G19" s="4"/>
    </row>
    <row r="20" spans="2:7" x14ac:dyDescent="0.35">
      <c r="B20" s="25" t="s">
        <v>13</v>
      </c>
      <c r="C20" s="23">
        <v>20</v>
      </c>
      <c r="D20" s="4"/>
      <c r="E20" s="4"/>
      <c r="F20" s="4"/>
      <c r="G20" s="4"/>
    </row>
    <row r="21" spans="2:7" x14ac:dyDescent="0.35">
      <c r="B21" s="25" t="s">
        <v>14</v>
      </c>
      <c r="C21" s="23">
        <v>500000</v>
      </c>
      <c r="D21" s="4"/>
      <c r="E21" s="4"/>
      <c r="F21" s="4"/>
      <c r="G21" s="4"/>
    </row>
    <row r="22" spans="2:7" x14ac:dyDescent="0.35">
      <c r="B22" s="25" t="s">
        <v>15</v>
      </c>
      <c r="C22" s="17">
        <v>0.05</v>
      </c>
      <c r="D22" s="4"/>
      <c r="E22" s="4"/>
      <c r="F22" s="4"/>
      <c r="G22" s="4"/>
    </row>
    <row r="23" spans="2:7" x14ac:dyDescent="0.35">
      <c r="B23" s="25" t="s">
        <v>16</v>
      </c>
      <c r="C23" s="5">
        <f ca="1">_xll.PsiOptParam(30,40)</f>
        <v>35</v>
      </c>
      <c r="D23" s="4"/>
      <c r="E23" s="4"/>
      <c r="F23" s="4"/>
      <c r="G23" s="4"/>
    </row>
    <row r="24" spans="2:7" x14ac:dyDescent="0.35">
      <c r="B24" s="25" t="s">
        <v>17</v>
      </c>
      <c r="C24" s="17">
        <v>0.2</v>
      </c>
      <c r="D24" s="4"/>
      <c r="E24" s="4"/>
      <c r="F24" s="4"/>
      <c r="G24" s="4"/>
    </row>
    <row r="25" spans="2:7" ht="15" thickBot="1" x14ac:dyDescent="0.4">
      <c r="B25" s="26" t="s">
        <v>48</v>
      </c>
      <c r="C25" s="18">
        <v>0.05</v>
      </c>
      <c r="D25" s="4"/>
      <c r="E25" s="4"/>
      <c r="F25" s="4"/>
      <c r="G25" s="4"/>
    </row>
    <row r="26" spans="2:7" ht="15" thickBot="1" x14ac:dyDescent="0.4"/>
    <row r="27" spans="2:7" x14ac:dyDescent="0.35">
      <c r="B27" s="8" t="s">
        <v>18</v>
      </c>
      <c r="C27" s="3"/>
      <c r="D27" s="4"/>
      <c r="E27" s="4"/>
      <c r="F27" s="4"/>
      <c r="G27" s="4"/>
    </row>
    <row r="28" spans="2:7" x14ac:dyDescent="0.35">
      <c r="B28" s="25" t="s">
        <v>19</v>
      </c>
      <c r="C28" s="5">
        <v>150</v>
      </c>
      <c r="D28" s="4"/>
      <c r="E28" s="4"/>
      <c r="F28" s="4"/>
      <c r="G28" s="4"/>
    </row>
    <row r="29" spans="2:7" x14ac:dyDescent="0.35">
      <c r="B29" s="25"/>
      <c r="C29" s="5">
        <v>5</v>
      </c>
      <c r="D29" s="4"/>
      <c r="E29" s="4"/>
      <c r="F29" s="4"/>
      <c r="G29" s="4"/>
    </row>
    <row r="30" spans="2:7" x14ac:dyDescent="0.35">
      <c r="B30" s="25"/>
      <c r="C30" s="5">
        <v>6</v>
      </c>
      <c r="D30" s="4"/>
      <c r="E30" s="4"/>
      <c r="F30" s="4"/>
      <c r="G30" s="4"/>
    </row>
    <row r="31" spans="2:7" x14ac:dyDescent="0.35">
      <c r="B31" s="25"/>
      <c r="C31" s="5">
        <v>-1</v>
      </c>
      <c r="D31" s="4"/>
      <c r="E31" s="4"/>
      <c r="F31" s="4"/>
      <c r="G31" s="4"/>
    </row>
    <row r="32" spans="2:7" ht="15" thickBot="1" x14ac:dyDescent="0.4">
      <c r="B32" s="28" t="s">
        <v>20</v>
      </c>
      <c r="C32" s="7">
        <v>20</v>
      </c>
      <c r="D32" s="4"/>
      <c r="E32" s="4"/>
      <c r="F32" s="4"/>
      <c r="G32" s="4"/>
    </row>
    <row r="33" spans="2:11" x14ac:dyDescent="0.35">
      <c r="B33" s="4"/>
      <c r="C33" s="4"/>
      <c r="D33" s="4"/>
      <c r="E33" s="4"/>
      <c r="F33" s="4"/>
      <c r="G33" s="4"/>
    </row>
    <row r="35" spans="2:11" ht="15" thickBot="1" x14ac:dyDescent="0.4">
      <c r="B35" s="13" t="s">
        <v>21</v>
      </c>
      <c r="C35" s="4"/>
      <c r="D35" s="4"/>
      <c r="E35" s="4"/>
      <c r="F35" s="4"/>
      <c r="G35" s="4"/>
    </row>
    <row r="36" spans="2:11" x14ac:dyDescent="0.35">
      <c r="B36" s="57" t="s">
        <v>22</v>
      </c>
      <c r="C36" s="52">
        <v>1500</v>
      </c>
      <c r="D36" s="52">
        <v>1500</v>
      </c>
      <c r="E36" s="52">
        <v>1500</v>
      </c>
      <c r="F36" s="52">
        <v>1500</v>
      </c>
      <c r="G36" s="53">
        <v>1500</v>
      </c>
      <c r="K36" s="12"/>
    </row>
    <row r="37" spans="2:11" x14ac:dyDescent="0.35">
      <c r="B37" s="25" t="s">
        <v>23</v>
      </c>
      <c r="C37" s="54">
        <v>58644.914106406126</v>
      </c>
      <c r="D37" s="54">
        <v>83990.548123678906</v>
      </c>
      <c r="E37" s="54">
        <v>61703.069996686143</v>
      </c>
      <c r="F37" s="54">
        <v>53531.962118578231</v>
      </c>
      <c r="G37" s="22">
        <v>61886.280922529608</v>
      </c>
    </row>
    <row r="38" spans="2:11" ht="15" thickBot="1" x14ac:dyDescent="0.4">
      <c r="B38" s="26" t="s">
        <v>24</v>
      </c>
      <c r="C38" s="55">
        <v>300000</v>
      </c>
      <c r="D38" s="55">
        <v>100000</v>
      </c>
      <c r="E38" s="55">
        <v>100000</v>
      </c>
      <c r="F38" s="55">
        <v>0</v>
      </c>
      <c r="G38" s="56">
        <v>0</v>
      </c>
    </row>
    <row r="40" spans="2:11" ht="15" thickBot="1" x14ac:dyDescent="0.4">
      <c r="B40" s="15" t="s">
        <v>25</v>
      </c>
      <c r="C40" s="4"/>
      <c r="D40" s="4"/>
      <c r="E40" s="4"/>
      <c r="F40" s="4"/>
      <c r="G40" s="4"/>
      <c r="H40" t="s">
        <v>46</v>
      </c>
      <c r="I40" t="s">
        <v>52</v>
      </c>
    </row>
    <row r="41" spans="2:11" x14ac:dyDescent="0.35">
      <c r="B41" s="25" t="s">
        <v>26</v>
      </c>
      <c r="C41" s="44">
        <f ca="1">C60</f>
        <v>-106694.91410640616</v>
      </c>
      <c r="D41" s="19">
        <f t="shared" ref="D41:G41" ca="1" si="0">D60</f>
        <v>89483.451876321109</v>
      </c>
      <c r="E41" s="19">
        <f t="shared" ca="1" si="0"/>
        <v>131879.82500331383</v>
      </c>
      <c r="F41" s="19">
        <f t="shared" ca="1" si="0"/>
        <v>134128.66033142176</v>
      </c>
      <c r="G41" s="45">
        <f t="shared" ca="1" si="0"/>
        <v>119686.70320697036</v>
      </c>
      <c r="H41" s="46">
        <f ca="1">SUM(C41:G41)</f>
        <v>368483.72631162091</v>
      </c>
      <c r="I41" s="46">
        <f ca="1">H41/5</f>
        <v>73696.745262324184</v>
      </c>
    </row>
    <row r="42" spans="2:11" x14ac:dyDescent="0.35">
      <c r="B42" s="25" t="s">
        <v>51</v>
      </c>
      <c r="C42" s="47">
        <f ca="1">IF(C41&gt;0,(C41/(1+$C$25)),-(C38-(C43/(1+$C$25))))</f>
        <v>-115899.91819657729</v>
      </c>
      <c r="D42" s="20">
        <f ca="1">D41/(1+$C$25)^(1+D5)</f>
        <v>81164.128686005541</v>
      </c>
      <c r="E42" s="20">
        <f t="shared" ref="E42:F42" ca="1" si="1">E41/(1+$C$25)^(1+E5)</f>
        <v>113922.75132561392</v>
      </c>
      <c r="F42" s="20">
        <f t="shared" ca="1" si="1"/>
        <v>110347.98079518041</v>
      </c>
      <c r="G42" s="48">
        <f ca="1">G41/(1+$C$25)^(1+G5)</f>
        <v>93777.663741005701</v>
      </c>
      <c r="H42" s="46">
        <f ca="1">SUM(C42:G42)</f>
        <v>283312.60635122831</v>
      </c>
      <c r="I42" s="46">
        <f ca="1">H42/5</f>
        <v>56662.521270245663</v>
      </c>
    </row>
    <row r="43" spans="2:11" ht="15" thickBot="1" x14ac:dyDescent="0.4">
      <c r="B43" s="26" t="s">
        <v>49</v>
      </c>
      <c r="C43" s="49">
        <f ca="1">C38+C60</f>
        <v>193305.08589359384</v>
      </c>
      <c r="D43" s="49">
        <f ca="1">D38+C43+D60</f>
        <v>382788.53776991495</v>
      </c>
      <c r="E43" s="49">
        <f ca="1">E38+D43+E60</f>
        <v>614668.36277322879</v>
      </c>
      <c r="F43" s="49">
        <f t="shared" ref="F43:G43" ca="1" si="2">E43+F60</f>
        <v>748797.02310465055</v>
      </c>
      <c r="G43" s="50">
        <f t="shared" ca="1" si="2"/>
        <v>868483.72631162091</v>
      </c>
      <c r="H43" s="51"/>
      <c r="I43" s="51"/>
    </row>
    <row r="45" spans="2:11" ht="15" thickBot="1" x14ac:dyDescent="0.4">
      <c r="B45" s="16" t="s">
        <v>27</v>
      </c>
      <c r="C45" s="4"/>
      <c r="D45" s="4"/>
      <c r="E45" s="4"/>
      <c r="F45" s="4"/>
      <c r="G45" s="4"/>
    </row>
    <row r="46" spans="2:11" x14ac:dyDescent="0.35">
      <c r="B46" s="29" t="s">
        <v>28</v>
      </c>
      <c r="C46" s="40">
        <f>$C$28*($C$29+($C$30*(C5))+($C$31*((C5)^2)))</f>
        <v>750</v>
      </c>
      <c r="D46" s="40">
        <f>$C$28*($C$29+($C$30*(D5))+($C$31*((D5)^2)))</f>
        <v>1500</v>
      </c>
      <c r="E46" s="40">
        <f>$C$28*($C$29+($C$30*(E5))+($C$31*((E5)^2)))</f>
        <v>1950</v>
      </c>
      <c r="F46" s="40">
        <f>$C$28*($C$29+($C$30*(F5))+($C$31*((F5)^2)))</f>
        <v>2100</v>
      </c>
      <c r="G46" s="41">
        <f>$C$28*($C$29+($C$30*(G5))+($C$31*((G5)^2)))</f>
        <v>1950</v>
      </c>
    </row>
    <row r="47" spans="2:11" x14ac:dyDescent="0.35">
      <c r="B47" s="30" t="s">
        <v>29</v>
      </c>
      <c r="C47" s="42">
        <f>$C$32^(1-(1/(C37/10000)))</f>
        <v>12.000000428388651</v>
      </c>
      <c r="D47" s="42">
        <f t="shared" ref="D47:G47" si="3">$C$32^(1-(1/(D37/10000)))</f>
        <v>14.00000021800064</v>
      </c>
      <c r="E47" s="42">
        <f t="shared" si="3"/>
        <v>12.307692308804647</v>
      </c>
      <c r="F47" s="42">
        <f t="shared" si="3"/>
        <v>11.428573227267872</v>
      </c>
      <c r="G47" s="43">
        <f t="shared" si="3"/>
        <v>12.325395109837434</v>
      </c>
    </row>
    <row r="48" spans="2:11" x14ac:dyDescent="0.35">
      <c r="B48" s="30" t="s">
        <v>30</v>
      </c>
      <c r="C48" s="42">
        <f>INT((C47/100)*C46)</f>
        <v>90</v>
      </c>
      <c r="D48" s="42">
        <f t="shared" ref="D48:G48" si="4">INT((D47/100)*D46)</f>
        <v>210</v>
      </c>
      <c r="E48" s="42">
        <f t="shared" si="4"/>
        <v>240</v>
      </c>
      <c r="F48" s="42">
        <f t="shared" si="4"/>
        <v>240</v>
      </c>
      <c r="G48" s="43">
        <f t="shared" si="4"/>
        <v>240</v>
      </c>
    </row>
    <row r="49" spans="2:7" x14ac:dyDescent="0.35">
      <c r="B49" s="25"/>
      <c r="C49" s="4"/>
      <c r="D49" s="4"/>
      <c r="E49" s="4"/>
      <c r="F49" s="4"/>
      <c r="G49" s="5"/>
    </row>
    <row r="50" spans="2:7" x14ac:dyDescent="0.35">
      <c r="B50" s="31" t="s">
        <v>31</v>
      </c>
      <c r="C50" s="38">
        <f>C16</f>
        <v>250</v>
      </c>
      <c r="D50" s="38">
        <f>C50*(1+$C$17)</f>
        <v>257.5</v>
      </c>
      <c r="E50" s="38">
        <f t="shared" ref="E50:G50" si="5">D50*(1+$C$17)</f>
        <v>265.22500000000002</v>
      </c>
      <c r="F50" s="38">
        <f t="shared" si="5"/>
        <v>273.18175000000002</v>
      </c>
      <c r="G50" s="39">
        <f t="shared" si="5"/>
        <v>281.37720250000001</v>
      </c>
    </row>
    <row r="51" spans="2:7" x14ac:dyDescent="0.35">
      <c r="B51" s="31" t="s">
        <v>32</v>
      </c>
      <c r="C51" s="38">
        <f>C14</f>
        <v>100</v>
      </c>
      <c r="D51" s="38">
        <f>C51*(1+$C$15)</f>
        <v>101</v>
      </c>
      <c r="E51" s="38">
        <f t="shared" ref="E51:G51" si="6">D51*(1+$C$15)</f>
        <v>102.01</v>
      </c>
      <c r="F51" s="38">
        <f t="shared" si="6"/>
        <v>103.0301</v>
      </c>
      <c r="G51" s="39">
        <f t="shared" si="6"/>
        <v>104.060401</v>
      </c>
    </row>
    <row r="52" spans="2:7" x14ac:dyDescent="0.35">
      <c r="B52" s="31" t="s">
        <v>33</v>
      </c>
      <c r="C52" s="38">
        <f>C21</f>
        <v>500000</v>
      </c>
      <c r="D52" s="38">
        <f>C52*(1+$C$17)</f>
        <v>515000</v>
      </c>
      <c r="E52" s="38">
        <f t="shared" ref="E52:G52" si="7">D52*(1+$C$17)</f>
        <v>530450</v>
      </c>
      <c r="F52" s="38">
        <f t="shared" si="7"/>
        <v>546363.5</v>
      </c>
      <c r="G52" s="39">
        <f t="shared" si="7"/>
        <v>562754.40500000003</v>
      </c>
    </row>
    <row r="53" spans="2:7" x14ac:dyDescent="0.35">
      <c r="B53" s="31" t="s">
        <v>45</v>
      </c>
      <c r="C53" s="38">
        <f>C20</f>
        <v>20</v>
      </c>
      <c r="D53" s="38">
        <f>C53*(1+$C$15)</f>
        <v>20.2</v>
      </c>
      <c r="E53" s="38">
        <f t="shared" ref="E53:G53" si="8">D53*(1+$C$15)</f>
        <v>20.402000000000001</v>
      </c>
      <c r="F53" s="38">
        <f t="shared" si="8"/>
        <v>20.606020000000001</v>
      </c>
      <c r="G53" s="39">
        <f t="shared" si="8"/>
        <v>20.8120802</v>
      </c>
    </row>
    <row r="54" spans="2:7" x14ac:dyDescent="0.35">
      <c r="B54" s="31" t="s">
        <v>2</v>
      </c>
      <c r="C54" s="38">
        <f>IF(C48&lt;=C11,20000,40000)</f>
        <v>20000</v>
      </c>
      <c r="D54" s="38">
        <f>IF(D48&lt;=250,0,20000)</f>
        <v>0</v>
      </c>
      <c r="E54" s="38">
        <f>IF(D54&gt;0,0,IF(E48&gt;=250,20000,0))</f>
        <v>0</v>
      </c>
      <c r="F54" s="38">
        <f>IF(SUM(D54:E54)&gt;0,0,IF(F48&gt;=250,20000,0))</f>
        <v>0</v>
      </c>
      <c r="G54" s="39">
        <f>IF(SUM(D54:F54)&gt;0,0,IF(G48&gt;=250,20000,0))</f>
        <v>0</v>
      </c>
    </row>
    <row r="55" spans="2:7" x14ac:dyDescent="0.35">
      <c r="B55" s="31" t="s">
        <v>3</v>
      </c>
      <c r="C55" s="38">
        <v>50000</v>
      </c>
      <c r="D55" s="38">
        <v>0</v>
      </c>
      <c r="E55" s="38">
        <v>0</v>
      </c>
      <c r="F55" s="38">
        <v>0</v>
      </c>
      <c r="G55" s="39">
        <v>0</v>
      </c>
    </row>
    <row r="56" spans="2:7" x14ac:dyDescent="0.35">
      <c r="B56" s="31" t="s">
        <v>4</v>
      </c>
      <c r="C56" s="38">
        <v>10000</v>
      </c>
      <c r="D56" s="38">
        <v>0</v>
      </c>
      <c r="E56" s="38">
        <v>0</v>
      </c>
      <c r="F56" s="38">
        <v>0</v>
      </c>
      <c r="G56" s="39">
        <v>0</v>
      </c>
    </row>
    <row r="57" spans="2:7" x14ac:dyDescent="0.35">
      <c r="B57" s="31" t="s">
        <v>5</v>
      </c>
      <c r="C57" s="38">
        <v>20000</v>
      </c>
      <c r="D57" s="38">
        <f>IF(D48&lt;=250,0,20000)</f>
        <v>0</v>
      </c>
      <c r="E57" s="38">
        <f>IF(D57&gt;0,0,IF(E48&gt;=250,20000,0))</f>
        <v>0</v>
      </c>
      <c r="F57" s="38">
        <f>IF(SUM(D57:E57)&gt;0,0,IF(F48&gt;=250,20000,0))</f>
        <v>0</v>
      </c>
      <c r="G57" s="39">
        <f>IF(SUM(D57:F57)&gt;0,0,IF(G48&gt;=250,20000,0))</f>
        <v>0</v>
      </c>
    </row>
    <row r="58" spans="2:7" x14ac:dyDescent="0.35">
      <c r="B58" s="31" t="s">
        <v>34</v>
      </c>
      <c r="C58" s="38">
        <f>C50*$C$18*$C$19</f>
        <v>20250</v>
      </c>
      <c r="D58" s="38">
        <f>D50*$C$18*$C$19</f>
        <v>20857.5</v>
      </c>
      <c r="E58" s="38">
        <f>E50*$C$18*$C$19</f>
        <v>21483.225000000002</v>
      </c>
      <c r="F58" s="38">
        <f>F50*$C$18*$C$19</f>
        <v>22127.721750000004</v>
      </c>
      <c r="G58" s="39">
        <f>G50*$C$18*$C$19</f>
        <v>22791.553402499998</v>
      </c>
    </row>
    <row r="59" spans="2:7" x14ac:dyDescent="0.35">
      <c r="B59" s="25"/>
      <c r="C59" s="4"/>
      <c r="D59" s="4"/>
      <c r="E59" s="4"/>
      <c r="F59" s="4"/>
      <c r="G59" s="5"/>
    </row>
    <row r="60" spans="2:7" x14ac:dyDescent="0.35">
      <c r="B60" s="32" t="s">
        <v>26</v>
      </c>
      <c r="C60" s="34">
        <f ca="1">C69-C61</f>
        <v>-106694.91410640616</v>
      </c>
      <c r="D60" s="34">
        <f ca="1">D69-D61</f>
        <v>89483.451876321109</v>
      </c>
      <c r="E60" s="34">
        <f ca="1">E69-E61</f>
        <v>131879.82500331383</v>
      </c>
      <c r="F60" s="34">
        <f ca="1">F69-F61</f>
        <v>134128.66033142176</v>
      </c>
      <c r="G60" s="35">
        <f ca="1">G69-G61</f>
        <v>119686.70320697036</v>
      </c>
    </row>
    <row r="61" spans="2:7" x14ac:dyDescent="0.35">
      <c r="B61" s="32" t="s">
        <v>35</v>
      </c>
      <c r="C61" s="34">
        <f ca="1">SUM(C62,C68)</f>
        <v>268694.91410640616</v>
      </c>
      <c r="D61" s="34">
        <f ca="1">SUM(D62,D68)</f>
        <v>288516.54812367889</v>
      </c>
      <c r="E61" s="34">
        <f ca="1">SUM(E62,E68)</f>
        <v>300120.17499668617</v>
      </c>
      <c r="F61" s="34">
        <f ca="1">SUM(F62,F68)</f>
        <v>297871.33966857824</v>
      </c>
      <c r="G61" s="35">
        <f ca="1">SUM(G62,G68)</f>
        <v>312313.29679302964</v>
      </c>
    </row>
    <row r="62" spans="2:7" x14ac:dyDescent="0.35">
      <c r="B62" s="32" t="s">
        <v>36</v>
      </c>
      <c r="C62" s="34">
        <f ca="1">SUM(C63:C67)</f>
        <v>168694.91410640613</v>
      </c>
      <c r="D62" s="34">
        <f t="shared" ref="D62:G62" ca="1" si="9">SUM(D63:D67)</f>
        <v>288516.54812367889</v>
      </c>
      <c r="E62" s="34">
        <f t="shared" ca="1" si="9"/>
        <v>300120.17499668617</v>
      </c>
      <c r="F62" s="34">
        <f t="shared" ca="1" si="9"/>
        <v>297871.33966857824</v>
      </c>
      <c r="G62" s="35">
        <f t="shared" ca="1" si="9"/>
        <v>312313.29679302964</v>
      </c>
    </row>
    <row r="63" spans="2:7" x14ac:dyDescent="0.35">
      <c r="B63" s="32" t="s">
        <v>37</v>
      </c>
      <c r="C63" s="34">
        <f>C52*$C$22</f>
        <v>25000</v>
      </c>
      <c r="D63" s="34">
        <f t="shared" ref="D63:G63" si="10">D52*$C$22</f>
        <v>25750</v>
      </c>
      <c r="E63" s="34">
        <f t="shared" si="10"/>
        <v>26522.5</v>
      </c>
      <c r="F63" s="34">
        <f t="shared" si="10"/>
        <v>27318.175000000003</v>
      </c>
      <c r="G63" s="35">
        <f t="shared" si="10"/>
        <v>28137.720250000002</v>
      </c>
    </row>
    <row r="64" spans="2:7" x14ac:dyDescent="0.35">
      <c r="B64" s="32" t="s">
        <v>38</v>
      </c>
      <c r="C64" s="34">
        <f>C51*$C$19</f>
        <v>2700</v>
      </c>
      <c r="D64" s="34">
        <f t="shared" ref="D64:G64" si="11">D51*$C$19</f>
        <v>2727</v>
      </c>
      <c r="E64" s="34">
        <f t="shared" si="11"/>
        <v>2754.27</v>
      </c>
      <c r="F64" s="34">
        <f t="shared" si="11"/>
        <v>2781.8126999999999</v>
      </c>
      <c r="G64" s="35">
        <f t="shared" si="11"/>
        <v>2809.630827</v>
      </c>
    </row>
    <row r="65" spans="2:7" x14ac:dyDescent="0.35">
      <c r="B65" s="32" t="s">
        <v>39</v>
      </c>
      <c r="C65" s="34">
        <f>C53*12*C48</f>
        <v>21600</v>
      </c>
      <c r="D65" s="34">
        <f t="shared" ref="D65:G65" si="12">D53*12*D48</f>
        <v>50903.999999999993</v>
      </c>
      <c r="E65" s="34">
        <f t="shared" si="12"/>
        <v>58757.760000000002</v>
      </c>
      <c r="F65" s="34">
        <f t="shared" si="12"/>
        <v>59345.337599999999</v>
      </c>
      <c r="G65" s="35">
        <f t="shared" si="12"/>
        <v>59938.790976000004</v>
      </c>
    </row>
    <row r="66" spans="2:7" x14ac:dyDescent="0.35">
      <c r="B66" s="32" t="s">
        <v>40</v>
      </c>
      <c r="C66" s="34">
        <f ca="1">C58*_xlfn.CEILING.MATH(C48/$C$23)</f>
        <v>60750</v>
      </c>
      <c r="D66" s="34">
        <f ca="1">D58*_xlfn.CEILING.MATH(D48/$C$23)</f>
        <v>125145</v>
      </c>
      <c r="E66" s="34">
        <f ca="1">E58*_xlfn.CEILING.MATH(E48/$C$23)</f>
        <v>150382.57500000001</v>
      </c>
      <c r="F66" s="34">
        <f ca="1">F58*_xlfn.CEILING.MATH(F48/$C$23)</f>
        <v>154894.05225000004</v>
      </c>
      <c r="G66" s="35">
        <f ca="1">G58*_xlfn.CEILING.MATH(G48/$C$23)</f>
        <v>159540.87381749999</v>
      </c>
    </row>
    <row r="67" spans="2:7" x14ac:dyDescent="0.35">
      <c r="B67" s="32" t="s">
        <v>41</v>
      </c>
      <c r="C67" s="34">
        <f>C37</f>
        <v>58644.914106406126</v>
      </c>
      <c r="D67" s="34">
        <f t="shared" ref="D67:G67" si="13">D37</f>
        <v>83990.548123678906</v>
      </c>
      <c r="E67" s="34">
        <f t="shared" si="13"/>
        <v>61703.069996686143</v>
      </c>
      <c r="F67" s="34">
        <f t="shared" si="13"/>
        <v>53531.962118578231</v>
      </c>
      <c r="G67" s="34">
        <f t="shared" si="13"/>
        <v>61886.280922529608</v>
      </c>
    </row>
    <row r="68" spans="2:7" x14ac:dyDescent="0.35">
      <c r="B68" s="32" t="s">
        <v>42</v>
      </c>
      <c r="C68" s="34">
        <f>SUM(C54:C57)</f>
        <v>100000</v>
      </c>
      <c r="D68" s="34">
        <f>SUM(D54:D57)</f>
        <v>0</v>
      </c>
      <c r="E68" s="34">
        <f>SUM(E54:E57)</f>
        <v>0</v>
      </c>
      <c r="F68" s="34">
        <f>SUM(F54:F57)</f>
        <v>0</v>
      </c>
      <c r="G68" s="35">
        <f>SUM(G54:G57)</f>
        <v>0</v>
      </c>
    </row>
    <row r="69" spans="2:7" x14ac:dyDescent="0.35">
      <c r="B69" s="32" t="s">
        <v>43</v>
      </c>
      <c r="C69" s="34">
        <f>C70*C48</f>
        <v>162000</v>
      </c>
      <c r="D69" s="34">
        <f>D70*D48</f>
        <v>378000</v>
      </c>
      <c r="E69" s="34">
        <f>E70*E48</f>
        <v>432000</v>
      </c>
      <c r="F69" s="34">
        <f>F70*F48</f>
        <v>432000</v>
      </c>
      <c r="G69" s="35">
        <f>G70*G48</f>
        <v>432000</v>
      </c>
    </row>
    <row r="70" spans="2:7" x14ac:dyDescent="0.35">
      <c r="B70" s="32" t="s">
        <v>50</v>
      </c>
      <c r="C70" s="34">
        <f>C36+C71</f>
        <v>1800</v>
      </c>
      <c r="D70" s="34">
        <f>D36+D71</f>
        <v>1800</v>
      </c>
      <c r="E70" s="34">
        <f>E36+E71</f>
        <v>1800</v>
      </c>
      <c r="F70" s="34">
        <f>F36+F71</f>
        <v>1800</v>
      </c>
      <c r="G70" s="35">
        <f>G36+G71</f>
        <v>1800</v>
      </c>
    </row>
    <row r="71" spans="2:7" ht="15" thickBot="1" x14ac:dyDescent="0.4">
      <c r="B71" s="33" t="s">
        <v>44</v>
      </c>
      <c r="C71" s="36">
        <f>C36*$C$24</f>
        <v>300</v>
      </c>
      <c r="D71" s="36">
        <f>D36*$C$24</f>
        <v>300</v>
      </c>
      <c r="E71" s="36">
        <f>E36*$C$24</f>
        <v>300</v>
      </c>
      <c r="F71" s="36">
        <f>F36*$C$24</f>
        <v>300</v>
      </c>
      <c r="G71" s="37">
        <f>G36*$C$24</f>
        <v>300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defaultRowHeight="14.5" x14ac:dyDescent="0.35"/>
  <cols>
    <col min="1" max="1" width="5.90625" customWidth="1"/>
    <col min="2" max="2" width="10.08984375" bestFit="1" customWidth="1"/>
  </cols>
  <sheetData>
    <row r="1" spans="1:3" ht="15" thickBot="1" x14ac:dyDescent="0.4">
      <c r="A1" s="62" t="s">
        <v>56</v>
      </c>
      <c r="B1" s="62" t="s">
        <v>57</v>
      </c>
      <c r="C1" t="s">
        <v>58</v>
      </c>
    </row>
    <row r="2" spans="1:3" x14ac:dyDescent="0.35">
      <c r="A2" s="58">
        <v>30</v>
      </c>
      <c r="B2" s="59">
        <v>281223.72615912091</v>
      </c>
    </row>
    <row r="3" spans="1:3" x14ac:dyDescent="0.35">
      <c r="A3" s="58">
        <v>31</v>
      </c>
      <c r="B3" s="59">
        <v>312457.65084352111</v>
      </c>
      <c r="C3">
        <f>(B3-B2)/(A3-A2)</f>
        <v>31233.924684400205</v>
      </c>
    </row>
    <row r="4" spans="1:3" x14ac:dyDescent="0.35">
      <c r="A4" s="58">
        <v>32</v>
      </c>
      <c r="B4" s="59">
        <v>311886.6476970918</v>
      </c>
      <c r="C4">
        <f t="shared" ref="C4:C12" si="0">(B4-B3)/(A4-A3)</f>
        <v>-571.00314642931335</v>
      </c>
    </row>
    <row r="5" spans="1:3" x14ac:dyDescent="0.35">
      <c r="A5" s="58">
        <v>33</v>
      </c>
      <c r="B5" s="59">
        <v>337259.45960620127</v>
      </c>
      <c r="C5">
        <f t="shared" si="0"/>
        <v>25372.81190910947</v>
      </c>
    </row>
    <row r="6" spans="1:3" x14ac:dyDescent="0.35">
      <c r="A6" s="58">
        <v>34</v>
      </c>
      <c r="B6" s="59">
        <v>361718.98728652101</v>
      </c>
      <c r="C6">
        <f t="shared" si="0"/>
        <v>24459.527680319734</v>
      </c>
    </row>
    <row r="7" spans="1:3" x14ac:dyDescent="0.35">
      <c r="A7" s="58">
        <v>35</v>
      </c>
      <c r="B7" s="59">
        <v>392784.08769276575</v>
      </c>
      <c r="C7">
        <f t="shared" si="0"/>
        <v>31065.100406244746</v>
      </c>
    </row>
    <row r="8" spans="1:3" x14ac:dyDescent="0.35">
      <c r="A8" s="58">
        <v>36</v>
      </c>
      <c r="B8" s="59">
        <v>408833.77196152904</v>
      </c>
      <c r="C8">
        <f t="shared" si="0"/>
        <v>16049.684268763289</v>
      </c>
    </row>
    <row r="9" spans="1:3" x14ac:dyDescent="0.35">
      <c r="A9" s="58">
        <v>37</v>
      </c>
      <c r="B9" s="59">
        <v>411273.14367573068</v>
      </c>
      <c r="C9">
        <f t="shared" si="0"/>
        <v>2439.3717142016394</v>
      </c>
    </row>
    <row r="10" spans="1:3" x14ac:dyDescent="0.35">
      <c r="A10" s="58">
        <v>38</v>
      </c>
      <c r="B10" s="59">
        <v>435277.1789343899</v>
      </c>
      <c r="C10">
        <f t="shared" si="0"/>
        <v>24004.03525865922</v>
      </c>
    </row>
    <row r="11" spans="1:3" x14ac:dyDescent="0.35">
      <c r="A11" s="58">
        <v>39</v>
      </c>
      <c r="B11" s="59">
        <v>454281.40412848181</v>
      </c>
      <c r="C11">
        <f t="shared" si="0"/>
        <v>19004.225194091909</v>
      </c>
    </row>
    <row r="12" spans="1:3" ht="15" thickBot="1" x14ac:dyDescent="0.4">
      <c r="A12" s="60">
        <v>40</v>
      </c>
      <c r="B12" s="61">
        <v>465912.29955830827</v>
      </c>
      <c r="C12">
        <f t="shared" si="0"/>
        <v>11630.895429826458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"/>
  <sheetViews>
    <sheetView topLeftCell="B23" workbookViewId="0">
      <selection activeCell="G27" sqref="G27"/>
    </sheetView>
  </sheetViews>
  <sheetFormatPr defaultRowHeight="14.5" x14ac:dyDescent="0.35"/>
  <cols>
    <col min="1" max="1" width="23" bestFit="1" customWidth="1"/>
    <col min="2" max="2" width="35.26953125" bestFit="1" customWidth="1"/>
    <col min="3" max="3" width="12.7265625" bestFit="1" customWidth="1"/>
    <col min="4" max="5" width="12.26953125" bestFit="1" customWidth="1"/>
    <col min="6" max="6" width="12.1796875" bestFit="1" customWidth="1"/>
    <col min="7" max="8" width="12.08984375" bestFit="1" customWidth="1"/>
    <col min="9" max="9" width="11.08984375" bestFit="1" customWidth="1"/>
  </cols>
  <sheetData>
    <row r="1" spans="1:7" x14ac:dyDescent="0.35">
      <c r="A1" t="s">
        <v>53</v>
      </c>
    </row>
    <row r="2" spans="1:7" x14ac:dyDescent="0.35">
      <c r="A2" s="1">
        <v>42466</v>
      </c>
    </row>
    <row r="3" spans="1:7" x14ac:dyDescent="0.35">
      <c r="A3" t="s">
        <v>54</v>
      </c>
    </row>
    <row r="4" spans="1:7" ht="15" thickBot="1" x14ac:dyDescent="0.4">
      <c r="B4" s="14" t="s">
        <v>0</v>
      </c>
      <c r="C4" s="4"/>
      <c r="D4" s="4"/>
      <c r="E4" s="4"/>
      <c r="F4" s="4"/>
      <c r="G4" s="4"/>
    </row>
    <row r="5" spans="1:7" ht="15" thickBot="1" x14ac:dyDescent="0.4">
      <c r="B5" s="9" t="s">
        <v>47</v>
      </c>
      <c r="C5" s="10">
        <f>0</f>
        <v>0</v>
      </c>
      <c r="D5" s="10">
        <f>1</f>
        <v>1</v>
      </c>
      <c r="E5" s="10">
        <f>2</f>
        <v>2</v>
      </c>
      <c r="F5" s="10">
        <f>3</f>
        <v>3</v>
      </c>
      <c r="G5" s="11">
        <f>4</f>
        <v>4</v>
      </c>
    </row>
    <row r="6" spans="1:7" ht="15" thickBot="1" x14ac:dyDescent="0.4">
      <c r="B6" s="27" t="s">
        <v>1</v>
      </c>
      <c r="C6" s="2"/>
      <c r="D6" s="2"/>
      <c r="E6" s="2"/>
      <c r="F6" s="2"/>
      <c r="G6" s="3"/>
    </row>
    <row r="7" spans="1:7" x14ac:dyDescent="0.35">
      <c r="B7" s="25" t="s">
        <v>2</v>
      </c>
      <c r="C7" s="19">
        <v>20000</v>
      </c>
      <c r="D7" s="2"/>
      <c r="E7" s="2"/>
      <c r="F7" s="2"/>
      <c r="G7" s="3"/>
    </row>
    <row r="8" spans="1:7" x14ac:dyDescent="0.35">
      <c r="B8" s="25" t="s">
        <v>3</v>
      </c>
      <c r="C8" s="20">
        <v>50000</v>
      </c>
      <c r="D8" s="4"/>
      <c r="E8" s="4"/>
      <c r="F8" s="4"/>
      <c r="G8" s="5"/>
    </row>
    <row r="9" spans="1:7" x14ac:dyDescent="0.35">
      <c r="B9" s="25" t="s">
        <v>4</v>
      </c>
      <c r="C9" s="20">
        <v>10000</v>
      </c>
      <c r="D9" s="4"/>
      <c r="E9" s="4"/>
      <c r="F9" s="4"/>
      <c r="G9" s="5"/>
    </row>
    <row r="10" spans="1:7" x14ac:dyDescent="0.35">
      <c r="B10" s="25" t="s">
        <v>5</v>
      </c>
      <c r="C10" s="20">
        <v>20000</v>
      </c>
      <c r="D10" s="4"/>
      <c r="E10" s="4"/>
      <c r="F10" s="4"/>
      <c r="G10" s="5"/>
    </row>
    <row r="11" spans="1:7" ht="15" thickBot="1" x14ac:dyDescent="0.4">
      <c r="B11" s="28" t="s">
        <v>55</v>
      </c>
      <c r="C11" s="21">
        <v>250</v>
      </c>
      <c r="D11" s="6"/>
      <c r="E11" s="6"/>
      <c r="F11" s="6"/>
      <c r="G11" s="7"/>
    </row>
    <row r="12" spans="1:7" ht="15" thickBot="1" x14ac:dyDescent="0.4"/>
    <row r="13" spans="1:7" x14ac:dyDescent="0.35">
      <c r="B13" s="24" t="s">
        <v>6</v>
      </c>
      <c r="C13" s="3"/>
      <c r="D13" s="4"/>
      <c r="E13" s="4"/>
      <c r="F13" s="4"/>
      <c r="G13" s="4"/>
    </row>
    <row r="14" spans="1:7" x14ac:dyDescent="0.35">
      <c r="B14" s="25" t="s">
        <v>7</v>
      </c>
      <c r="C14" s="23">
        <v>100</v>
      </c>
      <c r="D14" s="4"/>
      <c r="E14" s="4"/>
      <c r="F14" s="4"/>
      <c r="G14" s="4"/>
    </row>
    <row r="15" spans="1:7" x14ac:dyDescent="0.35">
      <c r="B15" s="25" t="s">
        <v>8</v>
      </c>
      <c r="C15" s="17">
        <v>0.01</v>
      </c>
      <c r="D15" s="4"/>
      <c r="E15" s="4"/>
      <c r="F15" s="4"/>
      <c r="G15" s="4"/>
    </row>
    <row r="16" spans="1:7" x14ac:dyDescent="0.35">
      <c r="B16" s="25" t="s">
        <v>9</v>
      </c>
      <c r="C16" s="23">
        <f ca="1">_xll.PsiNormal(250,25)</f>
        <v>269.18077192805112</v>
      </c>
      <c r="D16" s="4"/>
      <c r="E16" s="4"/>
      <c r="F16" s="4"/>
      <c r="G16" s="4"/>
    </row>
    <row r="17" spans="2:7" x14ac:dyDescent="0.35">
      <c r="B17" s="25" t="s">
        <v>10</v>
      </c>
      <c r="C17" s="17">
        <v>0.03</v>
      </c>
      <c r="D17" s="4"/>
      <c r="E17" s="4"/>
      <c r="F17" s="4"/>
      <c r="G17" s="4"/>
    </row>
    <row r="18" spans="2:7" x14ac:dyDescent="0.35">
      <c r="B18" s="25" t="s">
        <v>11</v>
      </c>
      <c r="C18" s="5">
        <v>3</v>
      </c>
      <c r="D18" s="4"/>
      <c r="E18" s="4"/>
      <c r="F18" s="4"/>
      <c r="G18" s="4"/>
    </row>
    <row r="19" spans="2:7" x14ac:dyDescent="0.35">
      <c r="B19" s="25" t="s">
        <v>12</v>
      </c>
      <c r="C19" s="5">
        <v>27</v>
      </c>
      <c r="D19" s="4"/>
      <c r="E19" s="4"/>
      <c r="F19" s="4"/>
      <c r="G19" s="4"/>
    </row>
    <row r="20" spans="2:7" x14ac:dyDescent="0.35">
      <c r="B20" s="25" t="s">
        <v>13</v>
      </c>
      <c r="C20" s="23">
        <v>20</v>
      </c>
      <c r="D20" s="4"/>
      <c r="E20" s="4"/>
      <c r="F20" s="4"/>
      <c r="G20" s="4"/>
    </row>
    <row r="21" spans="2:7" x14ac:dyDescent="0.35">
      <c r="B21" s="25" t="s">
        <v>14</v>
      </c>
      <c r="C21" s="23">
        <v>500000</v>
      </c>
      <c r="D21" s="4"/>
      <c r="E21" s="4"/>
      <c r="F21" s="4"/>
      <c r="G21" s="4"/>
    </row>
    <row r="22" spans="2:7" x14ac:dyDescent="0.35">
      <c r="B22" s="25" t="s">
        <v>15</v>
      </c>
      <c r="C22" s="17">
        <v>0.05</v>
      </c>
      <c r="D22" s="4"/>
      <c r="E22" s="4"/>
      <c r="F22" s="4"/>
      <c r="G22" s="4"/>
    </row>
    <row r="23" spans="2:7" x14ac:dyDescent="0.35">
      <c r="B23" s="25" t="s">
        <v>16</v>
      </c>
      <c r="C23" s="5">
        <v>30</v>
      </c>
      <c r="D23" s="4"/>
      <c r="E23" s="4"/>
      <c r="F23" s="4"/>
      <c r="G23" s="4"/>
    </row>
    <row r="24" spans="2:7" x14ac:dyDescent="0.35">
      <c r="B24" s="25" t="s">
        <v>17</v>
      </c>
      <c r="C24" s="17">
        <v>0.2</v>
      </c>
      <c r="D24" s="4"/>
      <c r="E24" s="4"/>
      <c r="F24" s="4"/>
      <c r="G24" s="4"/>
    </row>
    <row r="25" spans="2:7" ht="15" thickBot="1" x14ac:dyDescent="0.4">
      <c r="B25" s="26" t="s">
        <v>48</v>
      </c>
      <c r="C25" s="18">
        <v>0.05</v>
      </c>
      <c r="D25" s="4"/>
      <c r="E25" s="4"/>
      <c r="F25" s="4"/>
      <c r="G25" s="4"/>
    </row>
    <row r="26" spans="2:7" ht="15" thickBot="1" x14ac:dyDescent="0.4"/>
    <row r="27" spans="2:7" x14ac:dyDescent="0.35">
      <c r="B27" s="8" t="s">
        <v>18</v>
      </c>
      <c r="C27" s="3"/>
      <c r="D27" s="4"/>
      <c r="E27" s="4"/>
      <c r="F27" s="4"/>
      <c r="G27" s="4"/>
    </row>
    <row r="28" spans="2:7" x14ac:dyDescent="0.35">
      <c r="B28" s="25" t="s">
        <v>19</v>
      </c>
      <c r="C28" s="5">
        <v>150</v>
      </c>
      <c r="D28" s="4"/>
      <c r="E28" s="4"/>
      <c r="F28" s="4"/>
      <c r="G28" s="4"/>
    </row>
    <row r="29" spans="2:7" x14ac:dyDescent="0.35">
      <c r="B29" s="25"/>
      <c r="C29" s="5">
        <v>5</v>
      </c>
      <c r="D29" s="4"/>
      <c r="E29" s="4"/>
      <c r="F29" s="4"/>
      <c r="G29" s="4"/>
    </row>
    <row r="30" spans="2:7" x14ac:dyDescent="0.35">
      <c r="B30" s="25"/>
      <c r="C30" s="5">
        <v>6</v>
      </c>
      <c r="D30" s="4"/>
      <c r="E30" s="4"/>
      <c r="F30" s="4"/>
      <c r="G30" s="4"/>
    </row>
    <row r="31" spans="2:7" x14ac:dyDescent="0.35">
      <c r="B31" s="25"/>
      <c r="C31" s="5">
        <v>-1</v>
      </c>
      <c r="D31" s="4"/>
      <c r="E31" s="4"/>
      <c r="F31" s="4"/>
      <c r="G31" s="4"/>
    </row>
    <row r="32" spans="2:7" ht="15" thickBot="1" x14ac:dyDescent="0.4">
      <c r="B32" s="28" t="s">
        <v>20</v>
      </c>
      <c r="C32" s="7">
        <v>20</v>
      </c>
      <c r="D32" s="4"/>
      <c r="E32" s="4"/>
      <c r="F32" s="4"/>
      <c r="G32" s="4"/>
    </row>
    <row r="33" spans="2:11" x14ac:dyDescent="0.35">
      <c r="B33" s="4"/>
      <c r="C33" s="4"/>
      <c r="D33" s="4"/>
      <c r="E33" s="4"/>
      <c r="F33" s="4"/>
      <c r="G33" s="4"/>
    </row>
    <row r="35" spans="2:11" ht="15" thickBot="1" x14ac:dyDescent="0.4">
      <c r="B35" s="13" t="s">
        <v>21</v>
      </c>
      <c r="C35" s="4"/>
      <c r="D35" s="4"/>
      <c r="E35" s="4"/>
      <c r="F35" s="4"/>
      <c r="G35" s="4"/>
    </row>
    <row r="36" spans="2:11" x14ac:dyDescent="0.35">
      <c r="B36" s="57" t="s">
        <v>22</v>
      </c>
      <c r="C36" s="52">
        <f ca="1">_xll.PsiNormal(1500,10)</f>
        <v>1511.1087390644261</v>
      </c>
      <c r="D36" s="52">
        <f ca="1">_xll.PsiNormal(1500,10)</f>
        <v>1482.2573404621335</v>
      </c>
      <c r="E36" s="52">
        <f ca="1">_xll.PsiNormal(1500,10)</f>
        <v>1491.8141727667978</v>
      </c>
      <c r="F36" s="52">
        <f ca="1">_xll.PsiNormal(1500,10)</f>
        <v>1505.905685344969</v>
      </c>
      <c r="G36" s="52">
        <f ca="1">_xll.PsiNormal(1500,10)</f>
        <v>1489.6027469601138</v>
      </c>
      <c r="K36" s="12"/>
    </row>
    <row r="37" spans="2:11" x14ac:dyDescent="0.35">
      <c r="B37" s="25" t="s">
        <v>23</v>
      </c>
      <c r="C37" s="54">
        <v>58644.914106406126</v>
      </c>
      <c r="D37" s="54">
        <v>83990.548123678906</v>
      </c>
      <c r="E37" s="54">
        <v>61703.069996686143</v>
      </c>
      <c r="F37" s="54">
        <v>53531.962118578231</v>
      </c>
      <c r="G37" s="22">
        <v>61886.280922529608</v>
      </c>
    </row>
    <row r="38" spans="2:11" ht="15" thickBot="1" x14ac:dyDescent="0.4">
      <c r="B38" s="26" t="s">
        <v>24</v>
      </c>
      <c r="C38" s="55">
        <v>300000</v>
      </c>
      <c r="D38" s="55">
        <v>100000</v>
      </c>
      <c r="E38" s="55">
        <v>100000</v>
      </c>
      <c r="F38" s="55">
        <v>0</v>
      </c>
      <c r="G38" s="56">
        <v>0</v>
      </c>
    </row>
    <row r="40" spans="2:11" ht="15" thickBot="1" x14ac:dyDescent="0.4">
      <c r="B40" s="15" t="s">
        <v>25</v>
      </c>
      <c r="C40" s="4"/>
      <c r="D40" s="4"/>
      <c r="E40" s="4"/>
      <c r="F40" s="4"/>
      <c r="G40" s="4"/>
      <c r="H40" t="s">
        <v>46</v>
      </c>
      <c r="I40" t="s">
        <v>52</v>
      </c>
    </row>
    <row r="41" spans="2:11" x14ac:dyDescent="0.35">
      <c r="B41" s="25" t="s">
        <v>26</v>
      </c>
      <c r="C41" s="44">
        <f ca="1">C60</f>
        <v>-110156.09786596455</v>
      </c>
      <c r="D41" s="19">
        <f t="shared" ref="D41:G41" ca="1" si="0">D60</f>
        <v>52953.039059077564</v>
      </c>
      <c r="E41" s="19">
        <f t="shared" ca="1" si="0"/>
        <v>94853.006912023411</v>
      </c>
      <c r="F41" s="19">
        <f t="shared" ca="1" si="0"/>
        <v>100120.11886720074</v>
      </c>
      <c r="G41" s="45">
        <f t="shared" ca="1" si="0"/>
        <v>79911.634122603864</v>
      </c>
      <c r="H41" s="46">
        <f ca="1">SUM(C41:G41) + _xll.PsiOutput()</f>
        <v>217681.70109494103</v>
      </c>
      <c r="I41" s="46">
        <f ca="1">H41/5</f>
        <v>43536.340218988204</v>
      </c>
    </row>
    <row r="42" spans="2:11" x14ac:dyDescent="0.35">
      <c r="B42" s="25" t="s">
        <v>51</v>
      </c>
      <c r="C42" s="47">
        <f ca="1">IF(C41&gt;0,(C41/(1+$C$25)),-(C38-(C43/(1+$C$25))))</f>
        <v>-119196.28368187102</v>
      </c>
      <c r="D42" s="20">
        <f ca="1">D41/(1+$C$25)^(1+D5)</f>
        <v>48029.967400523863</v>
      </c>
      <c r="E42" s="20">
        <f t="shared" ref="E42:F42" ca="1" si="1">E41/(1+$C$25)^(1+E5)</f>
        <v>81937.5937043718</v>
      </c>
      <c r="F42" s="20">
        <f t="shared" ca="1" si="1"/>
        <v>82369.069568503444</v>
      </c>
      <c r="G42" s="48">
        <f ca="1">G41/(1+$C$25)^(1+G5)</f>
        <v>62612.856340313898</v>
      </c>
      <c r="H42" s="46">
        <f ca="1">SUM(C42:G42)</f>
        <v>155753.20333184197</v>
      </c>
      <c r="I42" s="46">
        <f ca="1">H42/5</f>
        <v>31150.640666368396</v>
      </c>
    </row>
    <row r="43" spans="2:11" ht="15" thickBot="1" x14ac:dyDescent="0.4">
      <c r="B43" s="26" t="s">
        <v>49</v>
      </c>
      <c r="C43" s="49">
        <f ca="1">C38+C60</f>
        <v>189843.90213403545</v>
      </c>
      <c r="D43" s="49">
        <f ca="1">D38+C43+D60</f>
        <v>342796.94119311305</v>
      </c>
      <c r="E43" s="49">
        <f ca="1">E38+D43+E60</f>
        <v>537649.9481051364</v>
      </c>
      <c r="F43" s="49">
        <f t="shared" ref="F43:G43" ca="1" si="2">E43+F60</f>
        <v>637770.0669723372</v>
      </c>
      <c r="G43" s="50">
        <f t="shared" ca="1" si="2"/>
        <v>717681.701094941</v>
      </c>
      <c r="H43" s="51"/>
      <c r="I43" s="51"/>
    </row>
    <row r="45" spans="2:11" ht="15" thickBot="1" x14ac:dyDescent="0.4">
      <c r="B45" s="16" t="s">
        <v>27</v>
      </c>
      <c r="C45" s="4"/>
      <c r="D45" s="4"/>
      <c r="E45" s="4"/>
      <c r="F45" s="4"/>
      <c r="G45" s="4"/>
    </row>
    <row r="46" spans="2:11" x14ac:dyDescent="0.35">
      <c r="B46" s="29" t="s">
        <v>28</v>
      </c>
      <c r="C46" s="40">
        <f>$C$28*($C$29+($C$30*(C5))+($C$31*((C5)^2)))</f>
        <v>750</v>
      </c>
      <c r="D46" s="40">
        <f>$C$28*($C$29+($C$30*(D5))+($C$31*((D5)^2)))</f>
        <v>1500</v>
      </c>
      <c r="E46" s="40">
        <f>$C$28*($C$29+($C$30*(E5))+($C$31*((E5)^2)))</f>
        <v>1950</v>
      </c>
      <c r="F46" s="40">
        <f>$C$28*($C$29+($C$30*(F5))+($C$31*((F5)^2)))</f>
        <v>2100</v>
      </c>
      <c r="G46" s="41">
        <f>$C$28*($C$29+($C$30*(G5))+($C$31*((G5)^2)))</f>
        <v>1950</v>
      </c>
    </row>
    <row r="47" spans="2:11" x14ac:dyDescent="0.35">
      <c r="B47" s="30" t="s">
        <v>29</v>
      </c>
      <c r="C47" s="42">
        <f>$C$32^(1-(1/(C37/10000)))</f>
        <v>12.000000428388651</v>
      </c>
      <c r="D47" s="42">
        <f t="shared" ref="D47:G47" si="3">$C$32^(1-(1/(D37/10000)))</f>
        <v>14.00000021800064</v>
      </c>
      <c r="E47" s="42">
        <f t="shared" si="3"/>
        <v>12.307692308804647</v>
      </c>
      <c r="F47" s="42">
        <f t="shared" si="3"/>
        <v>11.428573227267872</v>
      </c>
      <c r="G47" s="43">
        <f t="shared" si="3"/>
        <v>12.325395109837434</v>
      </c>
    </row>
    <row r="48" spans="2:11" x14ac:dyDescent="0.35">
      <c r="B48" s="30" t="s">
        <v>30</v>
      </c>
      <c r="C48" s="42">
        <f>INT((C47/100)*C46)</f>
        <v>90</v>
      </c>
      <c r="D48" s="42">
        <f t="shared" ref="D48:G48" si="4">INT((D47/100)*D46)</f>
        <v>210</v>
      </c>
      <c r="E48" s="42">
        <f t="shared" si="4"/>
        <v>240</v>
      </c>
      <c r="F48" s="42">
        <f t="shared" si="4"/>
        <v>240</v>
      </c>
      <c r="G48" s="43">
        <f t="shared" si="4"/>
        <v>240</v>
      </c>
    </row>
    <row r="49" spans="2:7" x14ac:dyDescent="0.35">
      <c r="B49" s="25"/>
      <c r="C49" s="4"/>
      <c r="D49" s="4"/>
      <c r="E49" s="4"/>
      <c r="F49" s="4"/>
      <c r="G49" s="5"/>
    </row>
    <row r="50" spans="2:7" x14ac:dyDescent="0.35">
      <c r="B50" s="31" t="s">
        <v>31</v>
      </c>
      <c r="C50" s="38">
        <f ca="1">C16</f>
        <v>269.18077192805112</v>
      </c>
      <c r="D50" s="38">
        <f ca="1">C50*(1+$C$17)</f>
        <v>277.25619508589267</v>
      </c>
      <c r="E50" s="38">
        <f t="shared" ref="E50:G50" ca="1" si="5">D50*(1+$C$17)</f>
        <v>285.57388093846947</v>
      </c>
      <c r="F50" s="38">
        <f t="shared" ca="1" si="5"/>
        <v>294.14109736662357</v>
      </c>
      <c r="G50" s="39">
        <f t="shared" ca="1" si="5"/>
        <v>302.96533028762229</v>
      </c>
    </row>
    <row r="51" spans="2:7" x14ac:dyDescent="0.35">
      <c r="B51" s="31" t="s">
        <v>32</v>
      </c>
      <c r="C51" s="38">
        <f>C14</f>
        <v>100</v>
      </c>
      <c r="D51" s="38">
        <f>C51*(1+$C$15)</f>
        <v>101</v>
      </c>
      <c r="E51" s="38">
        <f t="shared" ref="E51:G51" si="6">D51*(1+$C$15)</f>
        <v>102.01</v>
      </c>
      <c r="F51" s="38">
        <f t="shared" si="6"/>
        <v>103.0301</v>
      </c>
      <c r="G51" s="39">
        <f t="shared" si="6"/>
        <v>104.060401</v>
      </c>
    </row>
    <row r="52" spans="2:7" x14ac:dyDescent="0.35">
      <c r="B52" s="31" t="s">
        <v>33</v>
      </c>
      <c r="C52" s="38">
        <f>C21</f>
        <v>500000</v>
      </c>
      <c r="D52" s="38">
        <f>C52*(1+$C$17)</f>
        <v>515000</v>
      </c>
      <c r="E52" s="38">
        <f t="shared" ref="E52:G52" si="7">D52*(1+$C$17)</f>
        <v>530450</v>
      </c>
      <c r="F52" s="38">
        <f t="shared" si="7"/>
        <v>546363.5</v>
      </c>
      <c r="G52" s="39">
        <f t="shared" si="7"/>
        <v>562754.40500000003</v>
      </c>
    </row>
    <row r="53" spans="2:7" x14ac:dyDescent="0.35">
      <c r="B53" s="31" t="s">
        <v>45</v>
      </c>
      <c r="C53" s="38">
        <f>C20</f>
        <v>20</v>
      </c>
      <c r="D53" s="38">
        <f>C53*(1+$C$15)</f>
        <v>20.2</v>
      </c>
      <c r="E53" s="38">
        <f t="shared" ref="E53:G53" si="8">D53*(1+$C$15)</f>
        <v>20.402000000000001</v>
      </c>
      <c r="F53" s="38">
        <f t="shared" si="8"/>
        <v>20.606020000000001</v>
      </c>
      <c r="G53" s="39">
        <f t="shared" si="8"/>
        <v>20.8120802</v>
      </c>
    </row>
    <row r="54" spans="2:7" x14ac:dyDescent="0.35">
      <c r="B54" s="31" t="s">
        <v>2</v>
      </c>
      <c r="C54" s="38">
        <f>IF(C48&lt;=C11,20000,40000)</f>
        <v>20000</v>
      </c>
      <c r="D54" s="38">
        <f>IF(D48&lt;=250,0,20000)</f>
        <v>0</v>
      </c>
      <c r="E54" s="38">
        <f>IF(D54&gt;0,0,IF(E48&gt;=250,20000,0))</f>
        <v>0</v>
      </c>
      <c r="F54" s="38">
        <f>IF(SUM(D54:E54)&gt;0,0,IF(F48&gt;=250,20000,0))</f>
        <v>0</v>
      </c>
      <c r="G54" s="39">
        <f>IF(SUM(D54:F54)&gt;0,0,IF(G48&gt;=250,20000,0))</f>
        <v>0</v>
      </c>
    </row>
    <row r="55" spans="2:7" x14ac:dyDescent="0.35">
      <c r="B55" s="31" t="s">
        <v>3</v>
      </c>
      <c r="C55" s="38">
        <v>50000</v>
      </c>
      <c r="D55" s="38">
        <v>0</v>
      </c>
      <c r="E55" s="38">
        <v>0</v>
      </c>
      <c r="F55" s="38">
        <v>0</v>
      </c>
      <c r="G55" s="39">
        <v>0</v>
      </c>
    </row>
    <row r="56" spans="2:7" x14ac:dyDescent="0.35">
      <c r="B56" s="31" t="s">
        <v>4</v>
      </c>
      <c r="C56" s="38">
        <v>10000</v>
      </c>
      <c r="D56" s="38">
        <v>0</v>
      </c>
      <c r="E56" s="38">
        <v>0</v>
      </c>
      <c r="F56" s="38">
        <v>0</v>
      </c>
      <c r="G56" s="39">
        <v>0</v>
      </c>
    </row>
    <row r="57" spans="2:7" x14ac:dyDescent="0.35">
      <c r="B57" s="31" t="s">
        <v>5</v>
      </c>
      <c r="C57" s="38">
        <v>20000</v>
      </c>
      <c r="D57" s="38">
        <f>IF(D48&lt;=250,0,20000)</f>
        <v>0</v>
      </c>
      <c r="E57" s="38">
        <f>IF(D57&gt;0,0,IF(E48&gt;=250,20000,0))</f>
        <v>0</v>
      </c>
      <c r="F57" s="38">
        <f>IF(SUM(D57:E57)&gt;0,0,IF(F48&gt;=250,20000,0))</f>
        <v>0</v>
      </c>
      <c r="G57" s="39">
        <f>IF(SUM(D57:F57)&gt;0,0,IF(G48&gt;=250,20000,0))</f>
        <v>0</v>
      </c>
    </row>
    <row r="58" spans="2:7" x14ac:dyDescent="0.35">
      <c r="B58" s="31" t="s">
        <v>34</v>
      </c>
      <c r="C58" s="38">
        <f ca="1">C50*$C$18*$C$19</f>
        <v>21803.642526172138</v>
      </c>
      <c r="D58" s="38">
        <f ca="1">D50*$C$18*$C$19</f>
        <v>22457.751801957307</v>
      </c>
      <c r="E58" s="38">
        <f ca="1">E50*$C$18*$C$19</f>
        <v>23131.484356016026</v>
      </c>
      <c r="F58" s="38">
        <f ca="1">F50*$C$18*$C$19</f>
        <v>23825.428886696507</v>
      </c>
      <c r="G58" s="39">
        <f ca="1">G50*$C$18*$C$19</f>
        <v>24540.191753297408</v>
      </c>
    </row>
    <row r="59" spans="2:7" x14ac:dyDescent="0.35">
      <c r="B59" s="25"/>
      <c r="C59" s="4"/>
      <c r="D59" s="4"/>
      <c r="E59" s="4"/>
      <c r="F59" s="4"/>
      <c r="G59" s="5"/>
    </row>
    <row r="60" spans="2:7" x14ac:dyDescent="0.35">
      <c r="B60" s="32" t="s">
        <v>26</v>
      </c>
      <c r="C60" s="34">
        <f ca="1">C69-C61</f>
        <v>-110156.09786596455</v>
      </c>
      <c r="D60" s="34">
        <f ca="1">D69-D61</f>
        <v>52953.039059077564</v>
      </c>
      <c r="E60" s="34">
        <f ca="1">E69-E61</f>
        <v>94853.006912023411</v>
      </c>
      <c r="F60" s="34">
        <f ca="1">F69-F61</f>
        <v>100120.11886720074</v>
      </c>
      <c r="G60" s="35">
        <f ca="1">G69-G61</f>
        <v>79911.634122603864</v>
      </c>
    </row>
    <row r="61" spans="2:7" x14ac:dyDescent="0.35">
      <c r="B61" s="32" t="s">
        <v>35</v>
      </c>
      <c r="C61" s="34">
        <f ca="1">SUM(C62,C68)</f>
        <v>273355.84168492258</v>
      </c>
      <c r="D61" s="34">
        <f ca="1">SUM(D62,D68)</f>
        <v>320575.81073738006</v>
      </c>
      <c r="E61" s="34">
        <f ca="1">SUM(E62,E68)</f>
        <v>334789.47484481434</v>
      </c>
      <c r="F61" s="34">
        <f ca="1">SUM(F62,F68)</f>
        <v>333580.71851215034</v>
      </c>
      <c r="G61" s="35">
        <f ca="1">SUM(G62,G68)</f>
        <v>349093.95700190892</v>
      </c>
    </row>
    <row r="62" spans="2:7" x14ac:dyDescent="0.35">
      <c r="B62" s="32" t="s">
        <v>36</v>
      </c>
      <c r="C62" s="34">
        <f ca="1">SUM(C63:C67)</f>
        <v>173355.84168492255</v>
      </c>
      <c r="D62" s="34">
        <f t="shared" ref="D62:G62" ca="1" si="9">SUM(D63:D67)</f>
        <v>320575.81073738006</v>
      </c>
      <c r="E62" s="34">
        <f t="shared" ca="1" si="9"/>
        <v>334789.47484481434</v>
      </c>
      <c r="F62" s="34">
        <f t="shared" ca="1" si="9"/>
        <v>333580.71851215034</v>
      </c>
      <c r="G62" s="35">
        <f t="shared" ca="1" si="9"/>
        <v>349093.95700190892</v>
      </c>
    </row>
    <row r="63" spans="2:7" x14ac:dyDescent="0.35">
      <c r="B63" s="32" t="s">
        <v>37</v>
      </c>
      <c r="C63" s="34">
        <f>C52*$C$22</f>
        <v>25000</v>
      </c>
      <c r="D63" s="34">
        <f t="shared" ref="D63:G63" si="10">D52*$C$22</f>
        <v>25750</v>
      </c>
      <c r="E63" s="34">
        <f t="shared" si="10"/>
        <v>26522.5</v>
      </c>
      <c r="F63" s="34">
        <f t="shared" si="10"/>
        <v>27318.175000000003</v>
      </c>
      <c r="G63" s="35">
        <f t="shared" si="10"/>
        <v>28137.720250000002</v>
      </c>
    </row>
    <row r="64" spans="2:7" x14ac:dyDescent="0.35">
      <c r="B64" s="32" t="s">
        <v>38</v>
      </c>
      <c r="C64" s="34">
        <f>C51*$C$19</f>
        <v>2700</v>
      </c>
      <c r="D64" s="34">
        <f t="shared" ref="D64:G64" si="11">D51*$C$19</f>
        <v>2727</v>
      </c>
      <c r="E64" s="34">
        <f t="shared" si="11"/>
        <v>2754.27</v>
      </c>
      <c r="F64" s="34">
        <f t="shared" si="11"/>
        <v>2781.8126999999999</v>
      </c>
      <c r="G64" s="35">
        <f t="shared" si="11"/>
        <v>2809.630827</v>
      </c>
    </row>
    <row r="65" spans="2:7" x14ac:dyDescent="0.35">
      <c r="B65" s="32" t="s">
        <v>39</v>
      </c>
      <c r="C65" s="34">
        <f>C53*12*C48</f>
        <v>21600</v>
      </c>
      <c r="D65" s="34">
        <f t="shared" ref="D65:G65" si="12">D53*12*D48</f>
        <v>50903.999999999993</v>
      </c>
      <c r="E65" s="34">
        <f t="shared" si="12"/>
        <v>58757.760000000002</v>
      </c>
      <c r="F65" s="34">
        <f t="shared" si="12"/>
        <v>59345.337599999999</v>
      </c>
      <c r="G65" s="35">
        <f t="shared" si="12"/>
        <v>59938.790976000004</v>
      </c>
    </row>
    <row r="66" spans="2:7" x14ac:dyDescent="0.35">
      <c r="B66" s="32" t="s">
        <v>40</v>
      </c>
      <c r="C66" s="34">
        <f ca="1">C58*_xlfn.CEILING.MATH(C48/$C$23)</f>
        <v>65410.927578516414</v>
      </c>
      <c r="D66" s="34">
        <f ca="1">D58*_xlfn.CEILING.MATH(D48/$C$23)</f>
        <v>157204.26261370114</v>
      </c>
      <c r="E66" s="34">
        <f ca="1">E58*_xlfn.CEILING.MATH(E48/$C$23)</f>
        <v>185051.87484812821</v>
      </c>
      <c r="F66" s="34">
        <f ca="1">F58*_xlfn.CEILING.MATH(F48/$C$23)</f>
        <v>190603.43109357206</v>
      </c>
      <c r="G66" s="35">
        <f ca="1">G58*_xlfn.CEILING.MATH(G48/$C$23)</f>
        <v>196321.53402637926</v>
      </c>
    </row>
    <row r="67" spans="2:7" x14ac:dyDescent="0.35">
      <c r="B67" s="32" t="s">
        <v>41</v>
      </c>
      <c r="C67" s="34">
        <f>C37</f>
        <v>58644.914106406126</v>
      </c>
      <c r="D67" s="34">
        <f t="shared" ref="D67:G67" si="13">D37</f>
        <v>83990.548123678906</v>
      </c>
      <c r="E67" s="34">
        <f t="shared" si="13"/>
        <v>61703.069996686143</v>
      </c>
      <c r="F67" s="34">
        <f t="shared" si="13"/>
        <v>53531.962118578231</v>
      </c>
      <c r="G67" s="34">
        <f t="shared" si="13"/>
        <v>61886.280922529608</v>
      </c>
    </row>
    <row r="68" spans="2:7" x14ac:dyDescent="0.35">
      <c r="B68" s="32" t="s">
        <v>42</v>
      </c>
      <c r="C68" s="34">
        <f>SUM(C54:C57)</f>
        <v>100000</v>
      </c>
      <c r="D68" s="34">
        <f>SUM(D54:D57)</f>
        <v>0</v>
      </c>
      <c r="E68" s="34">
        <f>SUM(E54:E57)</f>
        <v>0</v>
      </c>
      <c r="F68" s="34">
        <f>SUM(F54:F57)</f>
        <v>0</v>
      </c>
      <c r="G68" s="35">
        <f>SUM(G54:G57)</f>
        <v>0</v>
      </c>
    </row>
    <row r="69" spans="2:7" x14ac:dyDescent="0.35">
      <c r="B69" s="32" t="s">
        <v>43</v>
      </c>
      <c r="C69" s="34">
        <f ca="1">C70*C48</f>
        <v>163199.74381895803</v>
      </c>
      <c r="D69" s="34">
        <f ca="1">D70*D48</f>
        <v>373528.84979645762</v>
      </c>
      <c r="E69" s="34">
        <f ca="1">E70*E48</f>
        <v>429642.48175683775</v>
      </c>
      <c r="F69" s="34">
        <f ca="1">F70*F48</f>
        <v>433700.83737935108</v>
      </c>
      <c r="G69" s="35">
        <f ca="1">G70*G48</f>
        <v>429005.59112451278</v>
      </c>
    </row>
    <row r="70" spans="2:7" x14ac:dyDescent="0.35">
      <c r="B70" s="32" t="s">
        <v>50</v>
      </c>
      <c r="C70" s="34">
        <f ca="1">C36+C71</f>
        <v>1813.3304868773114</v>
      </c>
      <c r="D70" s="34">
        <f ca="1">D36+D71</f>
        <v>1778.7088085545602</v>
      </c>
      <c r="E70" s="34">
        <f ca="1">E36+E71</f>
        <v>1790.1770073201574</v>
      </c>
      <c r="F70" s="34">
        <f ca="1">F36+F71</f>
        <v>1807.0868224139629</v>
      </c>
      <c r="G70" s="35">
        <f ca="1">G36+G71</f>
        <v>1787.5232963521366</v>
      </c>
    </row>
    <row r="71" spans="2:7" ht="15" thickBot="1" x14ac:dyDescent="0.4">
      <c r="B71" s="33" t="s">
        <v>44</v>
      </c>
      <c r="C71" s="36">
        <f ca="1">C36*$C$24</f>
        <v>302.22174781288521</v>
      </c>
      <c r="D71" s="36">
        <f ca="1">D36*$C$24</f>
        <v>296.45146809242669</v>
      </c>
      <c r="E71" s="36">
        <f ca="1">E36*$C$24</f>
        <v>298.36283455335956</v>
      </c>
      <c r="F71" s="36">
        <f ca="1">F36*$C$24</f>
        <v>301.18113706899379</v>
      </c>
      <c r="G71" s="37">
        <f ca="1">G36*$C$24</f>
        <v>297.92054939202279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case</vt:lpstr>
      <vt:lpstr>Optimization</vt:lpstr>
      <vt:lpstr>Optimization (2)</vt:lpstr>
      <vt:lpstr>Optimization sensitivity</vt:lpstr>
      <vt:lpstr>Analysis Report</vt:lpstr>
      <vt:lpstr>Simulation</vt:lpstr>
      <vt:lpstr>Simulation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Gupta</dc:creator>
  <cp:lastModifiedBy>Ashish Gupta</cp:lastModifiedBy>
  <dcterms:created xsi:type="dcterms:W3CDTF">2016-04-06T02:43:31Z</dcterms:created>
  <dcterms:modified xsi:type="dcterms:W3CDTF">2016-04-28T05:23:03Z</dcterms:modified>
</cp:coreProperties>
</file>