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AVTMUE744\AppData\Local\Box\Box Edit\Documents\_fbfB9z6tUmkZC1vlNsO5w==\"/>
    </mc:Choice>
  </mc:AlternateContent>
  <xr:revisionPtr revIDLastSave="0" documentId="13_ncr:1_{0B739C0C-D8CE-4A7E-ADE5-874A8B1464AE}" xr6:coauthVersionLast="47" xr6:coauthVersionMax="47" xr10:uidLastSave="{00000000-0000-0000-0000-000000000000}"/>
  <bookViews>
    <workbookView xWindow="-110" yWindow="-110" windowWidth="19420" windowHeight="10300" tabRatio="547" xr2:uid="{00000000-000D-0000-FFFF-FFFF00000000}"/>
  </bookViews>
  <sheets>
    <sheet name="Geo &amp; CIC Deployment Plan" sheetId="1" r:id="rId1"/>
    <sheet name="Summary" sheetId="2" r:id="rId2"/>
    <sheet name="Growth Survey+Stay Ahead Plan" sheetId="5" r:id="rId3"/>
    <sheet name="Intern Deploy-Plan Tracker" sheetId="11" r:id="rId4"/>
    <sheet name="Intern Deploy-Planning TKR DV" sheetId="10" state="hidden" r:id="rId5"/>
    <sheet name="Status of Curriculum Completion" sheetId="3" r:id="rId6"/>
    <sheet name="1h 2h data" sheetId="4" state="hidden" r:id="rId7"/>
    <sheet name="Sheet1" sheetId="6" r:id="rId8"/>
    <sheet name="OLD _ Intern Onboarding Plan" sheetId="8" r:id="rId9"/>
  </sheets>
  <definedNames>
    <definedName name="_xlnm._FilterDatabase" localSheetId="0" hidden="1">'Geo &amp; CIC Deployment Plan'!$A$2:$BG$2</definedName>
    <definedName name="_xlnm._FilterDatabase" localSheetId="2" hidden="1">'Growth Survey+Stay Ahead Plan'!$A$1:$I$165</definedName>
    <definedName name="_xlnm._FilterDatabase" localSheetId="3" hidden="1">'Intern Deploy-Plan Tracker'!$A$3:$R$3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443" i="1" l="1"/>
  <c r="BC443" i="1"/>
  <c r="AZ443" i="1"/>
  <c r="AS443" i="1"/>
  <c r="AR443" i="1"/>
  <c r="S443" i="1"/>
  <c r="BD442" i="1"/>
  <c r="BC442" i="1"/>
  <c r="AZ442" i="1"/>
  <c r="AS442" i="1"/>
  <c r="AR442" i="1"/>
  <c r="S442" i="1"/>
  <c r="S145" i="1"/>
  <c r="BD77" i="1"/>
  <c r="BC77" i="1"/>
  <c r="AZ77" i="1"/>
  <c r="AS77" i="1"/>
  <c r="AU77" i="1" s="1"/>
  <c r="AR77" i="1"/>
  <c r="S77" i="1"/>
  <c r="S235" i="1"/>
  <c r="S481" i="1"/>
  <c r="S479" i="1"/>
  <c r="S114" i="1"/>
  <c r="BD177" i="1"/>
  <c r="BC177" i="1"/>
  <c r="AZ177" i="1"/>
  <c r="AS177" i="1"/>
  <c r="AW177" i="1" s="1"/>
  <c r="AR177" i="1"/>
  <c r="BD175" i="1"/>
  <c r="BC175" i="1"/>
  <c r="AZ175" i="1"/>
  <c r="AS175" i="1"/>
  <c r="AW175" i="1" s="1"/>
  <c r="AR175" i="1"/>
  <c r="BD174" i="1"/>
  <c r="BC174" i="1"/>
  <c r="AZ174" i="1"/>
  <c r="AS174" i="1"/>
  <c r="AW174" i="1" s="1"/>
  <c r="AR174" i="1"/>
  <c r="BD118" i="1"/>
  <c r="BC118" i="1"/>
  <c r="AZ118" i="1"/>
  <c r="AS118" i="1"/>
  <c r="AW118" i="1" s="1"/>
  <c r="AR118" i="1"/>
  <c r="BD117" i="1"/>
  <c r="BC117" i="1"/>
  <c r="AZ117" i="1"/>
  <c r="AS117" i="1"/>
  <c r="AU117" i="1" s="1"/>
  <c r="AR117" i="1"/>
  <c r="BD116" i="1"/>
  <c r="BC116" i="1"/>
  <c r="AZ116" i="1"/>
  <c r="AS116" i="1"/>
  <c r="AW116" i="1" s="1"/>
  <c r="AR116" i="1"/>
  <c r="BD115" i="1"/>
  <c r="BC115" i="1"/>
  <c r="AZ115" i="1"/>
  <c r="AS115" i="1"/>
  <c r="AU115" i="1" s="1"/>
  <c r="AR115" i="1"/>
  <c r="BD114" i="1"/>
  <c r="BC114" i="1"/>
  <c r="AZ114" i="1"/>
  <c r="AS114" i="1"/>
  <c r="AV114" i="1" s="1"/>
  <c r="AR114" i="1"/>
  <c r="S175" i="1"/>
  <c r="S174" i="1"/>
  <c r="BB443" i="1" l="1"/>
  <c r="BB442" i="1"/>
  <c r="AW443" i="1"/>
  <c r="AV443" i="1"/>
  <c r="AU443" i="1"/>
  <c r="AW442" i="1"/>
  <c r="AV442" i="1"/>
  <c r="AU442" i="1"/>
  <c r="AX442" i="1" s="1"/>
  <c r="BA442" i="1" s="1"/>
  <c r="BB77" i="1"/>
  <c r="AV77" i="1"/>
  <c r="AW77" i="1"/>
  <c r="BB117" i="1"/>
  <c r="BB177" i="1"/>
  <c r="BB175" i="1"/>
  <c r="BB115" i="1"/>
  <c r="BB114" i="1"/>
  <c r="BB174" i="1"/>
  <c r="BB116" i="1"/>
  <c r="BB118" i="1"/>
  <c r="AU177" i="1"/>
  <c r="AV177" i="1"/>
  <c r="AV175" i="1"/>
  <c r="AU175" i="1"/>
  <c r="AV174" i="1"/>
  <c r="AU174" i="1"/>
  <c r="AU118" i="1"/>
  <c r="AV118" i="1"/>
  <c r="AV117" i="1"/>
  <c r="AW117" i="1"/>
  <c r="AU116" i="1"/>
  <c r="AV116" i="1"/>
  <c r="AV115" i="1"/>
  <c r="AW115" i="1"/>
  <c r="AU114" i="1"/>
  <c r="AW114" i="1"/>
  <c r="BD426" i="1"/>
  <c r="BC426" i="1"/>
  <c r="AZ426" i="1"/>
  <c r="AS426" i="1"/>
  <c r="AU426" i="1" s="1"/>
  <c r="AR426" i="1"/>
  <c r="BD76" i="1"/>
  <c r="BC76" i="1"/>
  <c r="AZ76" i="1"/>
  <c r="AS76" i="1"/>
  <c r="AU76" i="1" s="1"/>
  <c r="AR76" i="1"/>
  <c r="S76" i="1"/>
  <c r="BD425" i="1"/>
  <c r="BC425" i="1"/>
  <c r="AZ425" i="1"/>
  <c r="AS425" i="1"/>
  <c r="AR425" i="1"/>
  <c r="BD481" i="1"/>
  <c r="BC481" i="1"/>
  <c r="AZ481" i="1"/>
  <c r="AS481" i="1"/>
  <c r="AR481" i="1"/>
  <c r="BD479" i="1"/>
  <c r="BC479" i="1"/>
  <c r="AZ479" i="1"/>
  <c r="AS479" i="1"/>
  <c r="AR479" i="1"/>
  <c r="BD542" i="1"/>
  <c r="BC542" i="1"/>
  <c r="AZ542" i="1"/>
  <c r="AS542" i="1"/>
  <c r="AU542" i="1" s="1"/>
  <c r="AR542" i="1"/>
  <c r="BD541" i="1"/>
  <c r="BC541" i="1"/>
  <c r="AZ541" i="1"/>
  <c r="BB541" i="1" s="1"/>
  <c r="AS541" i="1"/>
  <c r="AW541" i="1" s="1"/>
  <c r="AR541" i="1"/>
  <c r="S542" i="1"/>
  <c r="S478" i="1"/>
  <c r="S477" i="1"/>
  <c r="S424" i="1"/>
  <c r="S541" i="1"/>
  <c r="AX443" i="1" l="1"/>
  <c r="BA443" i="1" s="1"/>
  <c r="AX77" i="1"/>
  <c r="BA77" i="1" s="1"/>
  <c r="AX174" i="1"/>
  <c r="BA174" i="1" s="1"/>
  <c r="AX175" i="1"/>
  <c r="BA175" i="1" s="1"/>
  <c r="AX117" i="1"/>
  <c r="BA117" i="1" s="1"/>
  <c r="AX114" i="1"/>
  <c r="BA114" i="1" s="1"/>
  <c r="BB479" i="1"/>
  <c r="AX116" i="1"/>
  <c r="BA116" i="1" s="1"/>
  <c r="AX177" i="1"/>
  <c r="BA177" i="1" s="1"/>
  <c r="AX115" i="1"/>
  <c r="BA115" i="1" s="1"/>
  <c r="AX118" i="1"/>
  <c r="BA118" i="1" s="1"/>
  <c r="BB426" i="1"/>
  <c r="BB425" i="1"/>
  <c r="BB481" i="1"/>
  <c r="AW76" i="1"/>
  <c r="AV426" i="1"/>
  <c r="AW426" i="1"/>
  <c r="BB76" i="1"/>
  <c r="AV76" i="1"/>
  <c r="AW425" i="1"/>
  <c r="AV425" i="1"/>
  <c r="AU425" i="1"/>
  <c r="AW481" i="1"/>
  <c r="AV481" i="1"/>
  <c r="AU481" i="1"/>
  <c r="BB542" i="1"/>
  <c r="AW479" i="1"/>
  <c r="AV479" i="1"/>
  <c r="AU479" i="1"/>
  <c r="AV541" i="1"/>
  <c r="AV542" i="1"/>
  <c r="AU541" i="1"/>
  <c r="AW542" i="1"/>
  <c r="BD478" i="1"/>
  <c r="BC478" i="1"/>
  <c r="BB478" i="1" s="1"/>
  <c r="AZ478" i="1"/>
  <c r="AS478" i="1"/>
  <c r="AR478" i="1"/>
  <c r="S139" i="1"/>
  <c r="S138" i="1"/>
  <c r="S133" i="1"/>
  <c r="S132" i="1"/>
  <c r="S216" i="1"/>
  <c r="S215" i="1"/>
  <c r="S173" i="1"/>
  <c r="BD477" i="1"/>
  <c r="BC477" i="1"/>
  <c r="BB477" i="1" s="1"/>
  <c r="AZ477" i="1"/>
  <c r="AS477" i="1"/>
  <c r="AU477" i="1" s="1"/>
  <c r="AR477" i="1"/>
  <c r="BD75" i="1"/>
  <c r="BC75" i="1"/>
  <c r="AZ75" i="1"/>
  <c r="AS75" i="1"/>
  <c r="AU75" i="1" s="1"/>
  <c r="AR75" i="1"/>
  <c r="S75" i="1"/>
  <c r="AX426" i="1" l="1"/>
  <c r="BA426" i="1" s="1"/>
  <c r="AX425" i="1"/>
  <c r="BA425" i="1" s="1"/>
  <c r="AX76" i="1"/>
  <c r="BA76" i="1" s="1"/>
  <c r="AX481" i="1"/>
  <c r="BA481" i="1" s="1"/>
  <c r="AX479" i="1"/>
  <c r="BA479" i="1" s="1"/>
  <c r="AX541" i="1"/>
  <c r="BA541" i="1" s="1"/>
  <c r="AX542" i="1"/>
  <c r="BA542" i="1" s="1"/>
  <c r="AW478" i="1"/>
  <c r="AV478" i="1"/>
  <c r="AU478" i="1"/>
  <c r="AV477" i="1"/>
  <c r="AW477" i="1"/>
  <c r="BB75" i="1"/>
  <c r="AV75" i="1"/>
  <c r="AW75" i="1"/>
  <c r="AX478" i="1" l="1"/>
  <c r="BA478" i="1" s="1"/>
  <c r="AX477" i="1"/>
  <c r="BA477" i="1" s="1"/>
  <c r="AX75" i="1"/>
  <c r="BA75" i="1" s="1"/>
  <c r="BD424" i="1"/>
  <c r="BC424" i="1"/>
  <c r="AZ424" i="1"/>
  <c r="AS424" i="1"/>
  <c r="AR424" i="1"/>
  <c r="S493" i="1"/>
  <c r="S423" i="1"/>
  <c r="BD216" i="1"/>
  <c r="BC216" i="1"/>
  <c r="AZ216" i="1"/>
  <c r="AS216" i="1"/>
  <c r="AU216" i="1" s="1"/>
  <c r="AR216" i="1"/>
  <c r="BD215" i="1"/>
  <c r="BC215" i="1"/>
  <c r="AZ215" i="1"/>
  <c r="AS215" i="1"/>
  <c r="AU215" i="1" s="1"/>
  <c r="AR215" i="1"/>
  <c r="BD173" i="1"/>
  <c r="BC173" i="1"/>
  <c r="AZ173" i="1"/>
  <c r="AS173" i="1"/>
  <c r="AW173" i="1" s="1"/>
  <c r="AR173" i="1"/>
  <c r="U217" i="1"/>
  <c r="V217" i="1"/>
  <c r="AA217" i="1"/>
  <c r="AG217" i="1"/>
  <c r="AH217" i="1"/>
  <c r="AR217" i="1"/>
  <c r="AS217" i="1"/>
  <c r="AU217" i="1" s="1"/>
  <c r="AZ217" i="1"/>
  <c r="BC217" i="1"/>
  <c r="BD423" i="1"/>
  <c r="BC423" i="1"/>
  <c r="AZ423" i="1"/>
  <c r="AS423" i="1"/>
  <c r="AR423" i="1"/>
  <c r="S148" i="1"/>
  <c r="S144" i="1"/>
  <c r="V148" i="1"/>
  <c r="S147" i="1"/>
  <c r="AA148" i="1"/>
  <c r="U149" i="1"/>
  <c r="U148" i="1"/>
  <c r="BC146" i="1"/>
  <c r="AZ146" i="1"/>
  <c r="AS146" i="1"/>
  <c r="AU146" i="1" s="1"/>
  <c r="AR146" i="1"/>
  <c r="AH146" i="1"/>
  <c r="AH148" i="1" s="1"/>
  <c r="AG146" i="1"/>
  <c r="AG148" i="1" s="1"/>
  <c r="AA146" i="1"/>
  <c r="AA149" i="1" s="1"/>
  <c r="V146" i="1"/>
  <c r="U146" i="1"/>
  <c r="BD145" i="1"/>
  <c r="BC145" i="1"/>
  <c r="AZ145" i="1"/>
  <c r="AS145" i="1"/>
  <c r="AW145" i="1" s="1"/>
  <c r="AR145" i="1"/>
  <c r="BD74" i="1"/>
  <c r="BC74" i="1"/>
  <c r="AZ74" i="1"/>
  <c r="AS74" i="1"/>
  <c r="AW74" i="1" s="1"/>
  <c r="AR74" i="1"/>
  <c r="S74" i="1"/>
  <c r="S149" i="1"/>
  <c r="AA147" i="1"/>
  <c r="BD144" i="1"/>
  <c r="BC144" i="1"/>
  <c r="AZ144" i="1"/>
  <c r="AS144" i="1"/>
  <c r="AU144" i="1" s="1"/>
  <c r="AR144" i="1"/>
  <c r="S93" i="1"/>
  <c r="BD73" i="1"/>
  <c r="BC73" i="1"/>
  <c r="AZ73" i="1"/>
  <c r="AS73" i="1"/>
  <c r="AU73" i="1" s="1"/>
  <c r="AR73" i="1"/>
  <c r="S73" i="1"/>
  <c r="S113" i="1"/>
  <c r="S112" i="1"/>
  <c r="BD540" i="1"/>
  <c r="BC540" i="1"/>
  <c r="AZ540" i="1"/>
  <c r="AS540" i="1"/>
  <c r="AW540" i="1" s="1"/>
  <c r="AR540" i="1"/>
  <c r="BD539" i="1"/>
  <c r="BC539" i="1"/>
  <c r="AZ539" i="1"/>
  <c r="AS539" i="1"/>
  <c r="AW539" i="1" s="1"/>
  <c r="AR539" i="1"/>
  <c r="BD538" i="1"/>
  <c r="BC538" i="1"/>
  <c r="AZ538" i="1"/>
  <c r="AS538" i="1"/>
  <c r="AW538" i="1" s="1"/>
  <c r="AR538" i="1"/>
  <c r="BD537" i="1"/>
  <c r="BC537" i="1"/>
  <c r="AZ537" i="1"/>
  <c r="AS537" i="1"/>
  <c r="AU537" i="1" s="1"/>
  <c r="AR537" i="1"/>
  <c r="BD536" i="1"/>
  <c r="BC536" i="1"/>
  <c r="AZ536" i="1"/>
  <c r="AS536" i="1"/>
  <c r="AV536" i="1" s="1"/>
  <c r="AR536" i="1"/>
  <c r="BD535" i="1"/>
  <c r="BC535" i="1"/>
  <c r="AZ535" i="1"/>
  <c r="AS535" i="1"/>
  <c r="AR535" i="1"/>
  <c r="BD534" i="1"/>
  <c r="BC534" i="1"/>
  <c r="AZ534" i="1"/>
  <c r="AS534" i="1"/>
  <c r="AV534" i="1" s="1"/>
  <c r="AR534" i="1"/>
  <c r="BD533" i="1"/>
  <c r="BC533" i="1"/>
  <c r="AZ533" i="1"/>
  <c r="AS533" i="1"/>
  <c r="AV533" i="1" s="1"/>
  <c r="AR533" i="1"/>
  <c r="BD532" i="1"/>
  <c r="BC532" i="1"/>
  <c r="AZ532" i="1"/>
  <c r="AS532" i="1"/>
  <c r="AW532" i="1" s="1"/>
  <c r="AR532" i="1"/>
  <c r="BD531" i="1"/>
  <c r="BC531" i="1"/>
  <c r="AZ531" i="1"/>
  <c r="AS531" i="1"/>
  <c r="AW531" i="1" s="1"/>
  <c r="AR531" i="1"/>
  <c r="BD530" i="1"/>
  <c r="BC530" i="1"/>
  <c r="AZ530" i="1"/>
  <c r="AS530" i="1"/>
  <c r="AW530" i="1" s="1"/>
  <c r="AR530" i="1"/>
  <c r="BD529" i="1"/>
  <c r="BC529" i="1"/>
  <c r="AZ529" i="1"/>
  <c r="AS529" i="1"/>
  <c r="AU529" i="1" s="1"/>
  <c r="AR529" i="1"/>
  <c r="BD528" i="1"/>
  <c r="BC528" i="1"/>
  <c r="AZ528" i="1"/>
  <c r="AS528" i="1"/>
  <c r="AU528" i="1" s="1"/>
  <c r="AR528" i="1"/>
  <c r="BD527" i="1"/>
  <c r="BC527" i="1"/>
  <c r="AZ527" i="1"/>
  <c r="AS527" i="1"/>
  <c r="AR527" i="1"/>
  <c r="BD526" i="1"/>
  <c r="BC526" i="1"/>
  <c r="AZ526" i="1"/>
  <c r="AS526" i="1"/>
  <c r="AV526" i="1" s="1"/>
  <c r="AR526" i="1"/>
  <c r="BD525" i="1"/>
  <c r="BC525" i="1"/>
  <c r="AZ525" i="1"/>
  <c r="AS525" i="1"/>
  <c r="AV525" i="1" s="1"/>
  <c r="AR525" i="1"/>
  <c r="BD524" i="1"/>
  <c r="BC524" i="1"/>
  <c r="AZ524" i="1"/>
  <c r="AS524" i="1"/>
  <c r="AV524" i="1" s="1"/>
  <c r="AR524" i="1"/>
  <c r="BD523" i="1"/>
  <c r="BC523" i="1"/>
  <c r="AZ523" i="1"/>
  <c r="AS523" i="1"/>
  <c r="AW523" i="1" s="1"/>
  <c r="AR523" i="1"/>
  <c r="BD522" i="1"/>
  <c r="BC522" i="1"/>
  <c r="AZ522" i="1"/>
  <c r="AS522" i="1"/>
  <c r="AW522" i="1" s="1"/>
  <c r="AR522" i="1"/>
  <c r="BD521" i="1"/>
  <c r="BC521" i="1"/>
  <c r="AZ521" i="1"/>
  <c r="AS521" i="1"/>
  <c r="AU521" i="1" s="1"/>
  <c r="AR521" i="1"/>
  <c r="BD520" i="1"/>
  <c r="BC520" i="1"/>
  <c r="AZ520" i="1"/>
  <c r="AS520" i="1"/>
  <c r="AW520" i="1" s="1"/>
  <c r="AR520" i="1"/>
  <c r="BD519" i="1"/>
  <c r="BC519" i="1"/>
  <c r="AZ519" i="1"/>
  <c r="AS519" i="1"/>
  <c r="AR519" i="1"/>
  <c r="BD518" i="1"/>
  <c r="BC518" i="1"/>
  <c r="AZ518" i="1"/>
  <c r="AS518" i="1"/>
  <c r="AW518" i="1" s="1"/>
  <c r="AR518" i="1"/>
  <c r="BD517" i="1"/>
  <c r="BC517" i="1"/>
  <c r="AZ517" i="1"/>
  <c r="AS517" i="1"/>
  <c r="AV517" i="1" s="1"/>
  <c r="AR517" i="1"/>
  <c r="BD516" i="1"/>
  <c r="BC516" i="1"/>
  <c r="AZ516" i="1"/>
  <c r="AS516" i="1"/>
  <c r="AU516" i="1" s="1"/>
  <c r="AR516" i="1"/>
  <c r="BC515" i="1"/>
  <c r="AZ515" i="1"/>
  <c r="AS515" i="1"/>
  <c r="AW515" i="1" s="1"/>
  <c r="AR515" i="1"/>
  <c r="BC514" i="1"/>
  <c r="AZ514" i="1"/>
  <c r="AS514" i="1"/>
  <c r="AW514" i="1" s="1"/>
  <c r="AR514" i="1"/>
  <c r="BC513" i="1"/>
  <c r="AZ513" i="1"/>
  <c r="AS513" i="1"/>
  <c r="AW513" i="1" s="1"/>
  <c r="AR513" i="1"/>
  <c r="BC512" i="1"/>
  <c r="AZ512" i="1"/>
  <c r="AS512" i="1"/>
  <c r="AR512" i="1"/>
  <c r="BC511" i="1"/>
  <c r="AZ511" i="1"/>
  <c r="AS511" i="1"/>
  <c r="AR511" i="1"/>
  <c r="BD510" i="1"/>
  <c r="BC510" i="1"/>
  <c r="AZ510" i="1"/>
  <c r="AS510" i="1"/>
  <c r="AU510" i="1" s="1"/>
  <c r="AR510" i="1"/>
  <c r="BD509" i="1"/>
  <c r="BC509" i="1"/>
  <c r="AZ509" i="1"/>
  <c r="AS509" i="1"/>
  <c r="AV509" i="1" s="1"/>
  <c r="AR509" i="1"/>
  <c r="BD508" i="1"/>
  <c r="BC508" i="1"/>
  <c r="AZ508" i="1"/>
  <c r="AS508" i="1"/>
  <c r="AU508" i="1" s="1"/>
  <c r="AR508" i="1"/>
  <c r="BD507" i="1"/>
  <c r="BC507" i="1"/>
  <c r="AZ507" i="1"/>
  <c r="AS507" i="1"/>
  <c r="AW507" i="1" s="1"/>
  <c r="AR507" i="1"/>
  <c r="BD506" i="1"/>
  <c r="BC506" i="1"/>
  <c r="AZ506" i="1"/>
  <c r="AS506" i="1"/>
  <c r="AW506" i="1" s="1"/>
  <c r="AR506" i="1"/>
  <c r="BD505" i="1"/>
  <c r="BC505" i="1"/>
  <c r="AZ505" i="1"/>
  <c r="AS505" i="1"/>
  <c r="AV505" i="1" s="1"/>
  <c r="AR505" i="1"/>
  <c r="BD504" i="1"/>
  <c r="BC504" i="1"/>
  <c r="AZ504" i="1"/>
  <c r="AS504" i="1"/>
  <c r="AR504" i="1"/>
  <c r="BD503" i="1"/>
  <c r="BC503" i="1"/>
  <c r="AZ503" i="1"/>
  <c r="AS503" i="1"/>
  <c r="AR503" i="1"/>
  <c r="BD502" i="1"/>
  <c r="BC502" i="1"/>
  <c r="AZ502" i="1"/>
  <c r="AS502" i="1"/>
  <c r="AU502" i="1" s="1"/>
  <c r="AR502" i="1"/>
  <c r="BD501" i="1"/>
  <c r="BC501" i="1"/>
  <c r="AZ501" i="1"/>
  <c r="AS501" i="1"/>
  <c r="AV501" i="1" s="1"/>
  <c r="AR501" i="1"/>
  <c r="BC500" i="1"/>
  <c r="AZ500" i="1"/>
  <c r="AS500" i="1"/>
  <c r="AU500" i="1" s="1"/>
  <c r="AR500" i="1"/>
  <c r="BC499" i="1"/>
  <c r="AZ499" i="1"/>
  <c r="AS499" i="1"/>
  <c r="AV499" i="1" s="1"/>
  <c r="AR499" i="1"/>
  <c r="BC498" i="1"/>
  <c r="AZ498" i="1"/>
  <c r="AS498" i="1"/>
  <c r="AW498" i="1" s="1"/>
  <c r="AR498" i="1"/>
  <c r="BC497" i="1"/>
  <c r="AZ497" i="1"/>
  <c r="AS497" i="1"/>
  <c r="AW497" i="1" s="1"/>
  <c r="AR497" i="1"/>
  <c r="BC496" i="1"/>
  <c r="AZ496" i="1"/>
  <c r="AS496" i="1"/>
  <c r="AV496" i="1" s="1"/>
  <c r="AR496" i="1"/>
  <c r="BD495" i="1"/>
  <c r="BC495" i="1"/>
  <c r="AZ495" i="1"/>
  <c r="AS495" i="1"/>
  <c r="AU495" i="1" s="1"/>
  <c r="AR495" i="1"/>
  <c r="BD494" i="1"/>
  <c r="BC494" i="1"/>
  <c r="AZ494" i="1"/>
  <c r="AS494" i="1"/>
  <c r="AU494" i="1" s="1"/>
  <c r="AR494" i="1"/>
  <c r="BD493" i="1"/>
  <c r="BC493" i="1"/>
  <c r="AZ493" i="1"/>
  <c r="AS493" i="1"/>
  <c r="AV493" i="1" s="1"/>
  <c r="AR493" i="1"/>
  <c r="BD492" i="1"/>
  <c r="BC492" i="1"/>
  <c r="AZ492" i="1"/>
  <c r="AS492" i="1"/>
  <c r="AR492" i="1"/>
  <c r="BD491" i="1"/>
  <c r="BC491" i="1"/>
  <c r="AZ491" i="1"/>
  <c r="AS491" i="1"/>
  <c r="AW491" i="1" s="1"/>
  <c r="AR491" i="1"/>
  <c r="BD490" i="1"/>
  <c r="BC490" i="1"/>
  <c r="AZ490" i="1"/>
  <c r="AS490" i="1"/>
  <c r="AW490" i="1" s="1"/>
  <c r="AR490" i="1"/>
  <c r="BD489" i="1"/>
  <c r="BC489" i="1"/>
  <c r="AZ489" i="1"/>
  <c r="AS489" i="1"/>
  <c r="AW489" i="1" s="1"/>
  <c r="AR489" i="1"/>
  <c r="BD488" i="1"/>
  <c r="BC488" i="1"/>
  <c r="AZ488" i="1"/>
  <c r="AS488" i="1"/>
  <c r="AR488" i="1"/>
  <c r="BD487" i="1"/>
  <c r="BC487" i="1"/>
  <c r="AZ487" i="1"/>
  <c r="AS487" i="1"/>
  <c r="AR487" i="1"/>
  <c r="BD486" i="1"/>
  <c r="BC486" i="1"/>
  <c r="AZ486" i="1"/>
  <c r="AS486" i="1"/>
  <c r="AR486" i="1"/>
  <c r="BC485" i="1"/>
  <c r="AZ485" i="1"/>
  <c r="AS485" i="1"/>
  <c r="AR485" i="1"/>
  <c r="BC484" i="1"/>
  <c r="AZ484" i="1"/>
  <c r="AS484" i="1"/>
  <c r="AV484" i="1" s="1"/>
  <c r="AR484" i="1"/>
  <c r="BC483" i="1"/>
  <c r="AZ483" i="1"/>
  <c r="AS483" i="1"/>
  <c r="AV483" i="1" s="1"/>
  <c r="AR483" i="1"/>
  <c r="BC482" i="1"/>
  <c r="AZ482" i="1"/>
  <c r="AS482" i="1"/>
  <c r="AW482" i="1" s="1"/>
  <c r="AR482" i="1"/>
  <c r="BD476" i="1"/>
  <c r="BC476" i="1"/>
  <c r="AZ476" i="1"/>
  <c r="AS476" i="1"/>
  <c r="AW476" i="1" s="1"/>
  <c r="AR476" i="1"/>
  <c r="BD475" i="1"/>
  <c r="BC475" i="1"/>
  <c r="BB475" i="1" s="1"/>
  <c r="AZ475" i="1"/>
  <c r="AS475" i="1"/>
  <c r="AV475" i="1" s="1"/>
  <c r="AR475" i="1"/>
  <c r="BD474" i="1"/>
  <c r="BC474" i="1"/>
  <c r="AZ474" i="1"/>
  <c r="AS474" i="1"/>
  <c r="AW474" i="1" s="1"/>
  <c r="AR474" i="1"/>
  <c r="BD473" i="1"/>
  <c r="BC473" i="1"/>
  <c r="AZ473" i="1"/>
  <c r="AS473" i="1"/>
  <c r="AU473" i="1" s="1"/>
  <c r="AR473" i="1"/>
  <c r="BD472" i="1"/>
  <c r="BC472" i="1"/>
  <c r="AZ472" i="1"/>
  <c r="AS472" i="1"/>
  <c r="AW472" i="1" s="1"/>
  <c r="AR472" i="1"/>
  <c r="BD471" i="1"/>
  <c r="BC471" i="1"/>
  <c r="BB471" i="1" s="1"/>
  <c r="AZ471" i="1"/>
  <c r="AS471" i="1"/>
  <c r="AR471" i="1"/>
  <c r="BD470" i="1"/>
  <c r="BC470" i="1"/>
  <c r="AZ470" i="1"/>
  <c r="AS470" i="1"/>
  <c r="AU470" i="1" s="1"/>
  <c r="AR470" i="1"/>
  <c r="BD469" i="1"/>
  <c r="BC469" i="1"/>
  <c r="AZ469" i="1"/>
  <c r="AS469" i="1"/>
  <c r="AU469" i="1" s="1"/>
  <c r="AR469" i="1"/>
  <c r="BD468" i="1"/>
  <c r="BC468" i="1"/>
  <c r="AZ468" i="1"/>
  <c r="AS468" i="1"/>
  <c r="AV468" i="1" s="1"/>
  <c r="AR468" i="1"/>
  <c r="BD467" i="1"/>
  <c r="BC467" i="1"/>
  <c r="AZ467" i="1"/>
  <c r="AS467" i="1"/>
  <c r="AR467" i="1"/>
  <c r="BD466" i="1"/>
  <c r="BC466" i="1"/>
  <c r="AZ466" i="1"/>
  <c r="AS466" i="1"/>
  <c r="AR466" i="1"/>
  <c r="BD465" i="1"/>
  <c r="BC465" i="1"/>
  <c r="BB465" i="1" s="1"/>
  <c r="AZ465" i="1"/>
  <c r="AS465" i="1"/>
  <c r="AR465" i="1"/>
  <c r="BD464" i="1"/>
  <c r="BC464" i="1"/>
  <c r="AZ464" i="1"/>
  <c r="AS464" i="1"/>
  <c r="AR464" i="1"/>
  <c r="BD463" i="1"/>
  <c r="BC463" i="1"/>
  <c r="BB463" i="1" s="1"/>
  <c r="AZ463" i="1"/>
  <c r="AS463" i="1"/>
  <c r="AR463" i="1"/>
  <c r="BD462" i="1"/>
  <c r="BC462" i="1"/>
  <c r="AZ462" i="1"/>
  <c r="AS462" i="1"/>
  <c r="AU462" i="1" s="1"/>
  <c r="AR462" i="1"/>
  <c r="BD461" i="1"/>
  <c r="BC461" i="1"/>
  <c r="BB461" i="1" s="1"/>
  <c r="AZ461" i="1"/>
  <c r="AS461" i="1"/>
  <c r="AV461" i="1" s="1"/>
  <c r="AR461" i="1"/>
  <c r="BD460" i="1"/>
  <c r="BC460" i="1"/>
  <c r="AZ460" i="1"/>
  <c r="AS460" i="1"/>
  <c r="AW460" i="1" s="1"/>
  <c r="AR460" i="1"/>
  <c r="BD459" i="1"/>
  <c r="BC459" i="1"/>
  <c r="AZ459" i="1"/>
  <c r="AS459" i="1"/>
  <c r="AV459" i="1" s="1"/>
  <c r="AR459" i="1"/>
  <c r="BD458" i="1"/>
  <c r="BC458" i="1"/>
  <c r="AZ458" i="1"/>
  <c r="AS458" i="1"/>
  <c r="AW458" i="1" s="1"/>
  <c r="AR458" i="1"/>
  <c r="BD457" i="1"/>
  <c r="BC457" i="1"/>
  <c r="AZ457" i="1"/>
  <c r="AS457" i="1"/>
  <c r="AW457" i="1" s="1"/>
  <c r="AR457" i="1"/>
  <c r="BD456" i="1"/>
  <c r="BC456" i="1"/>
  <c r="AZ456" i="1"/>
  <c r="AS456" i="1"/>
  <c r="AW456" i="1" s="1"/>
  <c r="AR456" i="1"/>
  <c r="BD455" i="1"/>
  <c r="BC455" i="1"/>
  <c r="AZ455" i="1"/>
  <c r="AS455" i="1"/>
  <c r="AW455" i="1" s="1"/>
  <c r="AR455" i="1"/>
  <c r="BD454" i="1"/>
  <c r="BC454" i="1"/>
  <c r="AZ454" i="1"/>
  <c r="AS454" i="1"/>
  <c r="AU454" i="1" s="1"/>
  <c r="AR454" i="1"/>
  <c r="BD453" i="1"/>
  <c r="BC453" i="1"/>
  <c r="BB453" i="1" s="1"/>
  <c r="AZ453" i="1"/>
  <c r="AS453" i="1"/>
  <c r="AW453" i="1" s="1"/>
  <c r="AR453" i="1"/>
  <c r="BD452" i="1"/>
  <c r="BC452" i="1"/>
  <c r="AZ452" i="1"/>
  <c r="AS452" i="1"/>
  <c r="AV452" i="1" s="1"/>
  <c r="AR452" i="1"/>
  <c r="BD451" i="1"/>
  <c r="BC451" i="1"/>
  <c r="AZ451" i="1"/>
  <c r="AS451" i="1"/>
  <c r="AV451" i="1" s="1"/>
  <c r="AR451" i="1"/>
  <c r="BD450" i="1"/>
  <c r="BC450" i="1"/>
  <c r="AZ450" i="1"/>
  <c r="AS450" i="1"/>
  <c r="AR450" i="1"/>
  <c r="BD449" i="1"/>
  <c r="BC449" i="1"/>
  <c r="AZ449" i="1"/>
  <c r="AS449" i="1"/>
  <c r="AW449" i="1" s="1"/>
  <c r="AR449" i="1"/>
  <c r="BD448" i="1"/>
  <c r="BC448" i="1"/>
  <c r="AZ448" i="1"/>
  <c r="AS448" i="1"/>
  <c r="AR448" i="1"/>
  <c r="BD447" i="1"/>
  <c r="BC447" i="1"/>
  <c r="AZ447" i="1"/>
  <c r="AS447" i="1"/>
  <c r="AV447" i="1" s="1"/>
  <c r="AR447" i="1"/>
  <c r="BD446" i="1"/>
  <c r="BC446" i="1"/>
  <c r="AZ446" i="1"/>
  <c r="AS446" i="1"/>
  <c r="AR446" i="1"/>
  <c r="BD445" i="1"/>
  <c r="BC445" i="1"/>
  <c r="AZ445" i="1"/>
  <c r="AS445" i="1"/>
  <c r="AR445" i="1"/>
  <c r="BD444" i="1"/>
  <c r="BC444" i="1"/>
  <c r="AZ444" i="1"/>
  <c r="AS444" i="1"/>
  <c r="AR444" i="1"/>
  <c r="BD441" i="1"/>
  <c r="BC441" i="1"/>
  <c r="AZ441" i="1"/>
  <c r="AS441" i="1"/>
  <c r="AV441" i="1" s="1"/>
  <c r="AR441" i="1"/>
  <c r="BD440" i="1"/>
  <c r="BC440" i="1"/>
  <c r="AZ440" i="1"/>
  <c r="AS440" i="1"/>
  <c r="AW440" i="1" s="1"/>
  <c r="AR440" i="1"/>
  <c r="BD439" i="1"/>
  <c r="BC439" i="1"/>
  <c r="AZ439" i="1"/>
  <c r="AS439" i="1"/>
  <c r="AV439" i="1" s="1"/>
  <c r="AR439" i="1"/>
  <c r="BD438" i="1"/>
  <c r="BC438" i="1"/>
  <c r="AZ438" i="1"/>
  <c r="AS438" i="1"/>
  <c r="AR438" i="1"/>
  <c r="BD437" i="1"/>
  <c r="BC437" i="1"/>
  <c r="AZ437" i="1"/>
  <c r="AS437" i="1"/>
  <c r="AR437" i="1"/>
  <c r="BD436" i="1"/>
  <c r="BC436" i="1"/>
  <c r="AZ436" i="1"/>
  <c r="AS436" i="1"/>
  <c r="AR436" i="1"/>
  <c r="BD435" i="1"/>
  <c r="BC435" i="1"/>
  <c r="AZ435" i="1"/>
  <c r="AS435" i="1"/>
  <c r="AR435" i="1"/>
  <c r="BD434" i="1"/>
  <c r="BC434" i="1"/>
  <c r="AZ434" i="1"/>
  <c r="AS434" i="1"/>
  <c r="AV434" i="1" s="1"/>
  <c r="AR434" i="1"/>
  <c r="BD433" i="1"/>
  <c r="BC433" i="1"/>
  <c r="AZ433" i="1"/>
  <c r="AS433" i="1"/>
  <c r="AR433" i="1"/>
  <c r="BD432" i="1"/>
  <c r="BC432" i="1"/>
  <c r="AZ432" i="1"/>
  <c r="AS432" i="1"/>
  <c r="AU432" i="1" s="1"/>
  <c r="AR432" i="1"/>
  <c r="BD431" i="1"/>
  <c r="BC431" i="1"/>
  <c r="AZ431" i="1"/>
  <c r="AS431" i="1"/>
  <c r="AU431" i="1" s="1"/>
  <c r="AR431" i="1"/>
  <c r="BD430" i="1"/>
  <c r="BC430" i="1"/>
  <c r="AZ430" i="1"/>
  <c r="AS430" i="1"/>
  <c r="AR430" i="1"/>
  <c r="BD429" i="1"/>
  <c r="BC429" i="1"/>
  <c r="AZ429" i="1"/>
  <c r="AS429" i="1"/>
  <c r="AR429" i="1"/>
  <c r="BD428" i="1"/>
  <c r="BC428" i="1"/>
  <c r="AZ428" i="1"/>
  <c r="AS428" i="1"/>
  <c r="AR428" i="1"/>
  <c r="BD427" i="1"/>
  <c r="BC427" i="1"/>
  <c r="AZ427" i="1"/>
  <c r="AS427" i="1"/>
  <c r="AV427" i="1" s="1"/>
  <c r="AR427" i="1"/>
  <c r="BD422" i="1"/>
  <c r="BC422" i="1"/>
  <c r="AZ422" i="1"/>
  <c r="AS422" i="1"/>
  <c r="AW422" i="1" s="1"/>
  <c r="AR422" i="1"/>
  <c r="BD421" i="1"/>
  <c r="BC421" i="1"/>
  <c r="BB421" i="1" s="1"/>
  <c r="AZ421" i="1"/>
  <c r="AS421" i="1"/>
  <c r="AV421" i="1" s="1"/>
  <c r="AR421" i="1"/>
  <c r="BD420" i="1"/>
  <c r="BC420" i="1"/>
  <c r="AZ420" i="1"/>
  <c r="AS420" i="1"/>
  <c r="AU420" i="1" s="1"/>
  <c r="AR420" i="1"/>
  <c r="BD419" i="1"/>
  <c r="BC419" i="1"/>
  <c r="AZ419" i="1"/>
  <c r="AS419" i="1"/>
  <c r="AW419" i="1" s="1"/>
  <c r="AR419" i="1"/>
  <c r="BD418" i="1"/>
  <c r="BC418" i="1"/>
  <c r="BB418" i="1" s="1"/>
  <c r="AZ418" i="1"/>
  <c r="AS418" i="1"/>
  <c r="AW418" i="1" s="1"/>
  <c r="AR418" i="1"/>
  <c r="BD417" i="1"/>
  <c r="BC417" i="1"/>
  <c r="AZ417" i="1"/>
  <c r="AS417" i="1"/>
  <c r="AW417" i="1" s="1"/>
  <c r="AR417" i="1"/>
  <c r="BD416" i="1"/>
  <c r="BC416" i="1"/>
  <c r="AZ416" i="1"/>
  <c r="AS416" i="1"/>
  <c r="AR416" i="1"/>
  <c r="BD415" i="1"/>
  <c r="BC415" i="1"/>
  <c r="AZ415" i="1"/>
  <c r="AS415" i="1"/>
  <c r="AW415" i="1" s="1"/>
  <c r="AR415" i="1"/>
  <c r="BD414" i="1"/>
  <c r="BC414" i="1"/>
  <c r="AZ414" i="1"/>
  <c r="AS414" i="1"/>
  <c r="AV414" i="1" s="1"/>
  <c r="AR414" i="1"/>
  <c r="BD413" i="1"/>
  <c r="BC413" i="1"/>
  <c r="AZ413" i="1"/>
  <c r="AS413" i="1"/>
  <c r="AW413" i="1" s="1"/>
  <c r="AR413" i="1"/>
  <c r="BD412" i="1"/>
  <c r="BC412" i="1"/>
  <c r="BB412" i="1" s="1"/>
  <c r="AZ412" i="1"/>
  <c r="AS412" i="1"/>
  <c r="AR412" i="1"/>
  <c r="BD411" i="1"/>
  <c r="BC411" i="1"/>
  <c r="AZ411" i="1"/>
  <c r="AS411" i="1"/>
  <c r="AR411" i="1"/>
  <c r="BD410" i="1"/>
  <c r="BC410" i="1"/>
  <c r="AZ410" i="1"/>
  <c r="AS410" i="1"/>
  <c r="AU410" i="1" s="1"/>
  <c r="AR410" i="1"/>
  <c r="BD409" i="1"/>
  <c r="BC409" i="1"/>
  <c r="BB409" i="1" s="1"/>
  <c r="AZ409" i="1"/>
  <c r="AS409" i="1"/>
  <c r="AU409" i="1" s="1"/>
  <c r="AR409" i="1"/>
  <c r="BD408" i="1"/>
  <c r="BC408" i="1"/>
  <c r="AZ408" i="1"/>
  <c r="AS408" i="1"/>
  <c r="AU408" i="1" s="1"/>
  <c r="AR408" i="1"/>
  <c r="BD407" i="1"/>
  <c r="BC407" i="1"/>
  <c r="AZ407" i="1"/>
  <c r="AS407" i="1"/>
  <c r="AW407" i="1" s="1"/>
  <c r="AR407" i="1"/>
  <c r="BD406" i="1"/>
  <c r="BC406" i="1"/>
  <c r="BB406" i="1" s="1"/>
  <c r="AZ406" i="1"/>
  <c r="AS406" i="1"/>
  <c r="AR406" i="1"/>
  <c r="BD405" i="1"/>
  <c r="BC405" i="1"/>
  <c r="BB405" i="1" s="1"/>
  <c r="AZ405" i="1"/>
  <c r="AS405" i="1"/>
  <c r="AV405" i="1" s="1"/>
  <c r="AR405" i="1"/>
  <c r="BD404" i="1"/>
  <c r="BC404" i="1"/>
  <c r="AZ404" i="1"/>
  <c r="AS404" i="1"/>
  <c r="AU404" i="1" s="1"/>
  <c r="AR404" i="1"/>
  <c r="BD403" i="1"/>
  <c r="BC403" i="1"/>
  <c r="BB403" i="1" s="1"/>
  <c r="AZ403" i="1"/>
  <c r="AS403" i="1"/>
  <c r="AR403" i="1"/>
  <c r="BD402" i="1"/>
  <c r="BC402" i="1"/>
  <c r="AZ402" i="1"/>
  <c r="AS402" i="1"/>
  <c r="AW402" i="1" s="1"/>
  <c r="AR402" i="1"/>
  <c r="BD401" i="1"/>
  <c r="BC401" i="1"/>
  <c r="AZ401" i="1"/>
  <c r="AS401" i="1"/>
  <c r="AR401" i="1"/>
  <c r="BD400" i="1"/>
  <c r="BC400" i="1"/>
  <c r="AZ400" i="1"/>
  <c r="AS400" i="1"/>
  <c r="AV400" i="1" s="1"/>
  <c r="AR400" i="1"/>
  <c r="BD399" i="1"/>
  <c r="BC399" i="1"/>
  <c r="AZ399" i="1"/>
  <c r="AS399" i="1"/>
  <c r="AU399" i="1" s="1"/>
  <c r="AR399" i="1"/>
  <c r="BD398" i="1"/>
  <c r="BC398" i="1"/>
  <c r="AZ398" i="1"/>
  <c r="AS398" i="1"/>
  <c r="AW398" i="1" s="1"/>
  <c r="AR398" i="1"/>
  <c r="BD397" i="1"/>
  <c r="BC397" i="1"/>
  <c r="AZ397" i="1"/>
  <c r="AS397" i="1"/>
  <c r="AR397" i="1"/>
  <c r="BD396" i="1"/>
  <c r="BC396" i="1"/>
  <c r="AZ396" i="1"/>
  <c r="AS396" i="1"/>
  <c r="AR396" i="1"/>
  <c r="BD395" i="1"/>
  <c r="BC395" i="1"/>
  <c r="AZ395" i="1"/>
  <c r="AS395" i="1"/>
  <c r="AU395" i="1" s="1"/>
  <c r="AR395" i="1"/>
  <c r="BD394" i="1"/>
  <c r="BC394" i="1"/>
  <c r="BB394" i="1" s="1"/>
  <c r="AZ394" i="1"/>
  <c r="AS394" i="1"/>
  <c r="AW394" i="1" s="1"/>
  <c r="AR394" i="1"/>
  <c r="BD393" i="1"/>
  <c r="BC393" i="1"/>
  <c r="AZ393" i="1"/>
  <c r="AS393" i="1"/>
  <c r="AU393" i="1" s="1"/>
  <c r="AR393" i="1"/>
  <c r="BD392" i="1"/>
  <c r="BC392" i="1"/>
  <c r="BB392" i="1" s="1"/>
  <c r="AZ392" i="1"/>
  <c r="AS392" i="1"/>
  <c r="AW392" i="1" s="1"/>
  <c r="AR392" i="1"/>
  <c r="BD391" i="1"/>
  <c r="BC391" i="1"/>
  <c r="AZ391" i="1"/>
  <c r="AS391" i="1"/>
  <c r="AW391" i="1" s="1"/>
  <c r="AR391" i="1"/>
  <c r="BD390" i="1"/>
  <c r="BC390" i="1"/>
  <c r="BB390" i="1" s="1"/>
  <c r="AZ390" i="1"/>
  <c r="AS390" i="1"/>
  <c r="AR390" i="1"/>
  <c r="BD389" i="1"/>
  <c r="BC389" i="1"/>
  <c r="BB389" i="1" s="1"/>
  <c r="AZ389" i="1"/>
  <c r="AS389" i="1"/>
  <c r="AV389" i="1" s="1"/>
  <c r="AR389" i="1"/>
  <c r="BD388" i="1"/>
  <c r="BC388" i="1"/>
  <c r="BB388" i="1" s="1"/>
  <c r="AZ388" i="1"/>
  <c r="AS388" i="1"/>
  <c r="AW388" i="1" s="1"/>
  <c r="AR388" i="1"/>
  <c r="BD387" i="1"/>
  <c r="BC387" i="1"/>
  <c r="AZ387" i="1"/>
  <c r="AS387" i="1"/>
  <c r="AR387" i="1"/>
  <c r="BD386" i="1"/>
  <c r="BC386" i="1"/>
  <c r="BB386" i="1" s="1"/>
  <c r="AZ386" i="1"/>
  <c r="AS386" i="1"/>
  <c r="AV386" i="1" s="1"/>
  <c r="AR386" i="1"/>
  <c r="BD385" i="1"/>
  <c r="BC385" i="1"/>
  <c r="BB385" i="1" s="1"/>
  <c r="AZ385" i="1"/>
  <c r="AS385" i="1"/>
  <c r="AU385" i="1" s="1"/>
  <c r="AR385" i="1"/>
  <c r="BD384" i="1"/>
  <c r="BC384" i="1"/>
  <c r="BB384" i="1" s="1"/>
  <c r="AZ384" i="1"/>
  <c r="AS384" i="1"/>
  <c r="AU384" i="1" s="1"/>
  <c r="AR384" i="1"/>
  <c r="BD383" i="1"/>
  <c r="BC383" i="1"/>
  <c r="BB383" i="1" s="1"/>
  <c r="AZ383" i="1"/>
  <c r="AS383" i="1"/>
  <c r="AV383" i="1" s="1"/>
  <c r="AR383" i="1"/>
  <c r="BD382" i="1"/>
  <c r="BC382" i="1"/>
  <c r="AZ382" i="1"/>
  <c r="AS382" i="1"/>
  <c r="AR382" i="1"/>
  <c r="BD381" i="1"/>
  <c r="BC381" i="1"/>
  <c r="AZ381" i="1"/>
  <c r="AS381" i="1"/>
  <c r="AW381" i="1" s="1"/>
  <c r="AR381" i="1"/>
  <c r="BD380" i="1"/>
  <c r="BC380" i="1"/>
  <c r="AZ380" i="1"/>
  <c r="AS380" i="1"/>
  <c r="AV380" i="1" s="1"/>
  <c r="AR380" i="1"/>
  <c r="BD379" i="1"/>
  <c r="BC379" i="1"/>
  <c r="AZ379" i="1"/>
  <c r="AS379" i="1"/>
  <c r="AW379" i="1" s="1"/>
  <c r="AR379" i="1"/>
  <c r="BD378" i="1"/>
  <c r="BC378" i="1"/>
  <c r="AZ378" i="1"/>
  <c r="AS378" i="1"/>
  <c r="AV378" i="1" s="1"/>
  <c r="AR378" i="1"/>
  <c r="BD377" i="1"/>
  <c r="BC377" i="1"/>
  <c r="AZ377" i="1"/>
  <c r="AS377" i="1"/>
  <c r="AU377" i="1" s="1"/>
  <c r="AR377" i="1"/>
  <c r="BD376" i="1"/>
  <c r="BC376" i="1"/>
  <c r="AZ376" i="1"/>
  <c r="AS376" i="1"/>
  <c r="AU376" i="1" s="1"/>
  <c r="AR376" i="1"/>
  <c r="BD375" i="1"/>
  <c r="BC375" i="1"/>
  <c r="AZ375" i="1"/>
  <c r="AS375" i="1"/>
  <c r="AR375" i="1"/>
  <c r="BD374" i="1"/>
  <c r="BC374" i="1"/>
  <c r="AZ374" i="1"/>
  <c r="AS374" i="1"/>
  <c r="AR374" i="1"/>
  <c r="BD373" i="1"/>
  <c r="BC373" i="1"/>
  <c r="AZ373" i="1"/>
  <c r="AS373" i="1"/>
  <c r="AR373" i="1"/>
  <c r="BD372" i="1"/>
  <c r="BC372" i="1"/>
  <c r="AZ372" i="1"/>
  <c r="AS372" i="1"/>
  <c r="AU372" i="1" s="1"/>
  <c r="AR372" i="1"/>
  <c r="BD371" i="1"/>
  <c r="BC371" i="1"/>
  <c r="AZ371" i="1"/>
  <c r="AS371" i="1"/>
  <c r="AW371" i="1" s="1"/>
  <c r="AR371" i="1"/>
  <c r="BD370" i="1"/>
  <c r="BC370" i="1"/>
  <c r="AZ370" i="1"/>
  <c r="AS370" i="1"/>
  <c r="AV370" i="1" s="1"/>
  <c r="AR370" i="1"/>
  <c r="BD369" i="1"/>
  <c r="BC369" i="1"/>
  <c r="AZ369" i="1"/>
  <c r="AS369" i="1"/>
  <c r="AR369" i="1"/>
  <c r="BD368" i="1"/>
  <c r="BC368" i="1"/>
  <c r="AZ368" i="1"/>
  <c r="AS368" i="1"/>
  <c r="AV368" i="1" s="1"/>
  <c r="AR368" i="1"/>
  <c r="BD367" i="1"/>
  <c r="BC367" i="1"/>
  <c r="AZ367" i="1"/>
  <c r="AS367" i="1"/>
  <c r="AU367" i="1" s="1"/>
  <c r="AR367" i="1"/>
  <c r="BD366" i="1"/>
  <c r="BC366" i="1"/>
  <c r="AZ366" i="1"/>
  <c r="AS366" i="1"/>
  <c r="AV366" i="1" s="1"/>
  <c r="AR366" i="1"/>
  <c r="BD365" i="1"/>
  <c r="BC365" i="1"/>
  <c r="AZ365" i="1"/>
  <c r="AS365" i="1"/>
  <c r="AW365" i="1" s="1"/>
  <c r="AR365" i="1"/>
  <c r="BD364" i="1"/>
  <c r="BC364" i="1"/>
  <c r="AZ364" i="1"/>
  <c r="AS364" i="1"/>
  <c r="AR364" i="1"/>
  <c r="BC363" i="1"/>
  <c r="AZ363" i="1"/>
  <c r="AS363" i="1"/>
  <c r="AU363" i="1" s="1"/>
  <c r="AR363" i="1"/>
  <c r="BC362" i="1"/>
  <c r="AZ362" i="1"/>
  <c r="AS362" i="1"/>
  <c r="AU362" i="1" s="1"/>
  <c r="AR362" i="1"/>
  <c r="BC361" i="1"/>
  <c r="AZ361" i="1"/>
  <c r="AS361" i="1"/>
  <c r="AV361" i="1" s="1"/>
  <c r="AR361" i="1"/>
  <c r="BC360" i="1"/>
  <c r="AZ360" i="1"/>
  <c r="AS360" i="1"/>
  <c r="AW360" i="1" s="1"/>
  <c r="AR360" i="1"/>
  <c r="BC359" i="1"/>
  <c r="AZ359" i="1"/>
  <c r="AS359" i="1"/>
  <c r="AV359" i="1" s="1"/>
  <c r="AR359" i="1"/>
  <c r="BD358" i="1"/>
  <c r="BC358" i="1"/>
  <c r="AZ358" i="1"/>
  <c r="AS358" i="1"/>
  <c r="AR358" i="1"/>
  <c r="BD357" i="1"/>
  <c r="BC357" i="1"/>
  <c r="AZ357" i="1"/>
  <c r="AS357" i="1"/>
  <c r="AR357" i="1"/>
  <c r="BD356" i="1"/>
  <c r="BC356" i="1"/>
  <c r="AZ356" i="1"/>
  <c r="AS356" i="1"/>
  <c r="AR356" i="1"/>
  <c r="BD355" i="1"/>
  <c r="BC355" i="1"/>
  <c r="AZ355" i="1"/>
  <c r="AS355" i="1"/>
  <c r="AV355" i="1" s="1"/>
  <c r="AR355" i="1"/>
  <c r="BD354" i="1"/>
  <c r="BC354" i="1"/>
  <c r="AZ354" i="1"/>
  <c r="AS354" i="1"/>
  <c r="AU354" i="1" s="1"/>
  <c r="AR354" i="1"/>
  <c r="BD353" i="1"/>
  <c r="BC353" i="1"/>
  <c r="AZ353" i="1"/>
  <c r="AS353" i="1"/>
  <c r="AR353" i="1"/>
  <c r="BD352" i="1"/>
  <c r="BC352" i="1"/>
  <c r="AZ352" i="1"/>
  <c r="AS352" i="1"/>
  <c r="AV352" i="1" s="1"/>
  <c r="AR352" i="1"/>
  <c r="BD351" i="1"/>
  <c r="BC351" i="1"/>
  <c r="AZ351" i="1"/>
  <c r="AS351" i="1"/>
  <c r="AR351" i="1"/>
  <c r="BD350" i="1"/>
  <c r="BC350" i="1"/>
  <c r="AZ350" i="1"/>
  <c r="AS350" i="1"/>
  <c r="AV350" i="1" s="1"/>
  <c r="AR350" i="1"/>
  <c r="BD349" i="1"/>
  <c r="BC349" i="1"/>
  <c r="AZ349" i="1"/>
  <c r="AS349" i="1"/>
  <c r="AV349" i="1" s="1"/>
  <c r="AR349" i="1"/>
  <c r="BD348" i="1"/>
  <c r="BC348" i="1"/>
  <c r="AZ348" i="1"/>
  <c r="AS348" i="1"/>
  <c r="AW348" i="1" s="1"/>
  <c r="AR348" i="1"/>
  <c r="BD347" i="1"/>
  <c r="BC347" i="1"/>
  <c r="AZ347" i="1"/>
  <c r="AS347" i="1"/>
  <c r="AR347" i="1"/>
  <c r="BD346" i="1"/>
  <c r="BC346" i="1"/>
  <c r="AZ346" i="1"/>
  <c r="AS346" i="1"/>
  <c r="AR346" i="1"/>
  <c r="BD345" i="1"/>
  <c r="BC345" i="1"/>
  <c r="AZ345" i="1"/>
  <c r="AS345" i="1"/>
  <c r="AW345" i="1" s="1"/>
  <c r="AR345" i="1"/>
  <c r="BD344" i="1"/>
  <c r="BC344" i="1"/>
  <c r="AZ344" i="1"/>
  <c r="AS344" i="1"/>
  <c r="AR344" i="1"/>
  <c r="BD343" i="1"/>
  <c r="BC343" i="1"/>
  <c r="AZ343" i="1"/>
  <c r="AS343" i="1"/>
  <c r="AU343" i="1" s="1"/>
  <c r="AR343" i="1"/>
  <c r="BD342" i="1"/>
  <c r="BC342" i="1"/>
  <c r="AZ342" i="1"/>
  <c r="AS342" i="1"/>
  <c r="AR342" i="1"/>
  <c r="BD341" i="1"/>
  <c r="BC341" i="1"/>
  <c r="AZ341" i="1"/>
  <c r="AS341" i="1"/>
  <c r="AR341" i="1"/>
  <c r="BD340" i="1"/>
  <c r="BC340" i="1"/>
  <c r="AZ340" i="1"/>
  <c r="AS340" i="1"/>
  <c r="AR340" i="1"/>
  <c r="BD339" i="1"/>
  <c r="BC339" i="1"/>
  <c r="AZ339" i="1"/>
  <c r="AS339" i="1"/>
  <c r="AU339" i="1" s="1"/>
  <c r="AR339" i="1"/>
  <c r="BD338" i="1"/>
  <c r="BC338" i="1"/>
  <c r="AZ338" i="1"/>
  <c r="AS338" i="1"/>
  <c r="AR338" i="1"/>
  <c r="BD337" i="1"/>
  <c r="BC337" i="1"/>
  <c r="AZ337" i="1"/>
  <c r="AS337" i="1"/>
  <c r="AW337" i="1" s="1"/>
  <c r="AR337" i="1"/>
  <c r="BD336" i="1"/>
  <c r="BC336" i="1"/>
  <c r="AZ336" i="1"/>
  <c r="AS336" i="1"/>
  <c r="AR336" i="1"/>
  <c r="BD335" i="1"/>
  <c r="BC335" i="1"/>
  <c r="AZ335" i="1"/>
  <c r="AS335" i="1"/>
  <c r="AV335" i="1" s="1"/>
  <c r="AR335" i="1"/>
  <c r="BD334" i="1"/>
  <c r="BC334" i="1"/>
  <c r="AZ334" i="1"/>
  <c r="AS334" i="1"/>
  <c r="AU334" i="1" s="1"/>
  <c r="AR334" i="1"/>
  <c r="BD333" i="1"/>
  <c r="BC333" i="1"/>
  <c r="AZ333" i="1"/>
  <c r="AS333" i="1"/>
  <c r="AW333" i="1" s="1"/>
  <c r="AR333" i="1"/>
  <c r="BD332" i="1"/>
  <c r="BC332" i="1"/>
  <c r="AZ332" i="1"/>
  <c r="AS332" i="1"/>
  <c r="AV332" i="1" s="1"/>
  <c r="AR332" i="1"/>
  <c r="BD331" i="1"/>
  <c r="BC331" i="1"/>
  <c r="AZ331" i="1"/>
  <c r="AS331" i="1"/>
  <c r="AU331" i="1" s="1"/>
  <c r="AR331" i="1"/>
  <c r="BD330" i="1"/>
  <c r="BC330" i="1"/>
  <c r="AZ330" i="1"/>
  <c r="AS330" i="1"/>
  <c r="AW330" i="1" s="1"/>
  <c r="AR330" i="1"/>
  <c r="BD329" i="1"/>
  <c r="BC329" i="1"/>
  <c r="AZ329" i="1"/>
  <c r="AS329" i="1"/>
  <c r="AW329" i="1" s="1"/>
  <c r="AR329" i="1"/>
  <c r="BD328" i="1"/>
  <c r="BC328" i="1"/>
  <c r="AZ328" i="1"/>
  <c r="AS328" i="1"/>
  <c r="AU328" i="1" s="1"/>
  <c r="AR328" i="1"/>
  <c r="BD327" i="1"/>
  <c r="BC327" i="1"/>
  <c r="AZ327" i="1"/>
  <c r="AS327" i="1"/>
  <c r="AR327" i="1"/>
  <c r="BD326" i="1"/>
  <c r="BC326" i="1"/>
  <c r="AZ326" i="1"/>
  <c r="AS326" i="1"/>
  <c r="AR326" i="1"/>
  <c r="BD325" i="1"/>
  <c r="BC325" i="1"/>
  <c r="AZ325" i="1"/>
  <c r="AS325" i="1"/>
  <c r="AR325" i="1"/>
  <c r="BD324" i="1"/>
  <c r="BC324" i="1"/>
  <c r="AZ324" i="1"/>
  <c r="AS324" i="1"/>
  <c r="AV324" i="1" s="1"/>
  <c r="AR324" i="1"/>
  <c r="BD323" i="1"/>
  <c r="BC323" i="1"/>
  <c r="AZ323" i="1"/>
  <c r="AS323" i="1"/>
  <c r="AU323" i="1" s="1"/>
  <c r="AR323" i="1"/>
  <c r="BD322" i="1"/>
  <c r="BC322" i="1"/>
  <c r="AZ322" i="1"/>
  <c r="AS322" i="1"/>
  <c r="AW322" i="1" s="1"/>
  <c r="AR322" i="1"/>
  <c r="BD321" i="1"/>
  <c r="BC321" i="1"/>
  <c r="AZ321" i="1"/>
  <c r="AS321" i="1"/>
  <c r="AR321" i="1"/>
  <c r="BD320" i="1"/>
  <c r="BC320" i="1"/>
  <c r="AZ320" i="1"/>
  <c r="AS320" i="1"/>
  <c r="AV320" i="1" s="1"/>
  <c r="AR320" i="1"/>
  <c r="BD319" i="1"/>
  <c r="BC319" i="1"/>
  <c r="AZ319" i="1"/>
  <c r="AS319" i="1"/>
  <c r="AV319" i="1" s="1"/>
  <c r="AR319" i="1"/>
  <c r="BD318" i="1"/>
  <c r="BC318" i="1"/>
  <c r="AZ318" i="1"/>
  <c r="AS318" i="1"/>
  <c r="AW318" i="1" s="1"/>
  <c r="AR318" i="1"/>
  <c r="BD317" i="1"/>
  <c r="BC317" i="1"/>
  <c r="AZ317" i="1"/>
  <c r="AS317" i="1"/>
  <c r="AR317" i="1"/>
  <c r="BD316" i="1"/>
  <c r="BC316" i="1"/>
  <c r="AZ316" i="1"/>
  <c r="AS316" i="1"/>
  <c r="AW316" i="1" s="1"/>
  <c r="AR316" i="1"/>
  <c r="BD315" i="1"/>
  <c r="BC315" i="1"/>
  <c r="AZ315" i="1"/>
  <c r="AS315" i="1"/>
  <c r="AV315" i="1" s="1"/>
  <c r="AR315" i="1"/>
  <c r="BD314" i="1"/>
  <c r="BC314" i="1"/>
  <c r="AZ314" i="1"/>
  <c r="AS314" i="1"/>
  <c r="AR314" i="1"/>
  <c r="BD313" i="1"/>
  <c r="BC313" i="1"/>
  <c r="AZ313" i="1"/>
  <c r="AS313" i="1"/>
  <c r="AU313" i="1" s="1"/>
  <c r="AR313" i="1"/>
  <c r="BD312" i="1"/>
  <c r="BC312" i="1"/>
  <c r="AZ312" i="1"/>
  <c r="AS312" i="1"/>
  <c r="AR312" i="1"/>
  <c r="BD311" i="1"/>
  <c r="BC311" i="1"/>
  <c r="AZ311" i="1"/>
  <c r="AS311" i="1"/>
  <c r="AV311" i="1" s="1"/>
  <c r="AR311" i="1"/>
  <c r="BD310" i="1"/>
  <c r="BC310" i="1"/>
  <c r="AZ310" i="1"/>
  <c r="AS310" i="1"/>
  <c r="AR310" i="1"/>
  <c r="BD309" i="1"/>
  <c r="BC309" i="1"/>
  <c r="AZ309" i="1"/>
  <c r="AS309" i="1"/>
  <c r="AW309" i="1" s="1"/>
  <c r="AR309" i="1"/>
  <c r="BD308" i="1"/>
  <c r="BC308" i="1"/>
  <c r="AZ308" i="1"/>
  <c r="AS308" i="1"/>
  <c r="AR308" i="1"/>
  <c r="BD307" i="1"/>
  <c r="BC307" i="1"/>
  <c r="AZ307" i="1"/>
  <c r="AS307" i="1"/>
  <c r="AR307" i="1"/>
  <c r="BD306" i="1"/>
  <c r="BC306" i="1"/>
  <c r="AZ306" i="1"/>
  <c r="AS306" i="1"/>
  <c r="AR306" i="1"/>
  <c r="BD305" i="1"/>
  <c r="BC305" i="1"/>
  <c r="AZ305" i="1"/>
  <c r="AS305" i="1"/>
  <c r="AR305" i="1"/>
  <c r="BD304" i="1"/>
  <c r="BC304" i="1"/>
  <c r="AZ304" i="1"/>
  <c r="AS304" i="1"/>
  <c r="AR304" i="1"/>
  <c r="BD303" i="1"/>
  <c r="BC303" i="1"/>
  <c r="AZ303" i="1"/>
  <c r="AS303" i="1"/>
  <c r="AU303" i="1" s="1"/>
  <c r="AR303" i="1"/>
  <c r="BD302" i="1"/>
  <c r="BC302" i="1"/>
  <c r="AZ302" i="1"/>
  <c r="AS302" i="1"/>
  <c r="AV302" i="1" s="1"/>
  <c r="AR302" i="1"/>
  <c r="BD301" i="1"/>
  <c r="BC301" i="1"/>
  <c r="AZ301" i="1"/>
  <c r="AS301" i="1"/>
  <c r="AV301" i="1" s="1"/>
  <c r="AR301" i="1"/>
  <c r="BD300" i="1"/>
  <c r="BC300" i="1"/>
  <c r="AZ300" i="1"/>
  <c r="AS300" i="1"/>
  <c r="AW300" i="1" s="1"/>
  <c r="AR300" i="1"/>
  <c r="BD299" i="1"/>
  <c r="BC299" i="1"/>
  <c r="AZ299" i="1"/>
  <c r="AS299" i="1"/>
  <c r="AW299" i="1" s="1"/>
  <c r="AR299" i="1"/>
  <c r="BD298" i="1"/>
  <c r="BC298" i="1"/>
  <c r="AZ298" i="1"/>
  <c r="AS298" i="1"/>
  <c r="AR298" i="1"/>
  <c r="BD297" i="1"/>
  <c r="BC297" i="1"/>
  <c r="AZ297" i="1"/>
  <c r="AS297" i="1"/>
  <c r="AU297" i="1" s="1"/>
  <c r="AR297" i="1"/>
  <c r="BD296" i="1"/>
  <c r="BC296" i="1"/>
  <c r="AZ296" i="1"/>
  <c r="AS296" i="1"/>
  <c r="AW296" i="1" s="1"/>
  <c r="AR296" i="1"/>
  <c r="BD295" i="1"/>
  <c r="BC295" i="1"/>
  <c r="AZ295" i="1"/>
  <c r="AS295" i="1"/>
  <c r="AR295" i="1"/>
  <c r="BD294" i="1"/>
  <c r="BC294" i="1"/>
  <c r="AZ294" i="1"/>
  <c r="AS294" i="1"/>
  <c r="AW294" i="1" s="1"/>
  <c r="AR294" i="1"/>
  <c r="BD293" i="1"/>
  <c r="BC293" i="1"/>
  <c r="AZ293" i="1"/>
  <c r="AS293" i="1"/>
  <c r="AV293" i="1" s="1"/>
  <c r="AR293" i="1"/>
  <c r="BD292" i="1"/>
  <c r="BC292" i="1"/>
  <c r="AZ292" i="1"/>
  <c r="AS292" i="1"/>
  <c r="AW292" i="1" s="1"/>
  <c r="AR292" i="1"/>
  <c r="BD291" i="1"/>
  <c r="BC291" i="1"/>
  <c r="AZ291" i="1"/>
  <c r="AS291" i="1"/>
  <c r="AU291" i="1" s="1"/>
  <c r="AR291" i="1"/>
  <c r="BD290" i="1"/>
  <c r="BC290" i="1"/>
  <c r="AZ290" i="1"/>
  <c r="AS290" i="1"/>
  <c r="AR290" i="1"/>
  <c r="BD289" i="1"/>
  <c r="BC289" i="1"/>
  <c r="AZ289" i="1"/>
  <c r="AS289" i="1"/>
  <c r="AU289" i="1" s="1"/>
  <c r="AR289" i="1"/>
  <c r="BD288" i="1"/>
  <c r="BC288" i="1"/>
  <c r="AZ288" i="1"/>
  <c r="AS288" i="1"/>
  <c r="AU288" i="1" s="1"/>
  <c r="AR288" i="1"/>
  <c r="BD287" i="1"/>
  <c r="BC287" i="1"/>
  <c r="AZ287" i="1"/>
  <c r="AS287" i="1"/>
  <c r="AR287" i="1"/>
  <c r="BD286" i="1"/>
  <c r="BC286" i="1"/>
  <c r="AZ286" i="1"/>
  <c r="AS286" i="1"/>
  <c r="AV286" i="1" s="1"/>
  <c r="AR286" i="1"/>
  <c r="BD285" i="1"/>
  <c r="BC285" i="1"/>
  <c r="AZ285" i="1"/>
  <c r="AS285" i="1"/>
  <c r="AV285" i="1" s="1"/>
  <c r="AR285" i="1"/>
  <c r="BD284" i="1"/>
  <c r="BC284" i="1"/>
  <c r="AZ284" i="1"/>
  <c r="AS284" i="1"/>
  <c r="AV284" i="1" s="1"/>
  <c r="AR284" i="1"/>
  <c r="BD283" i="1"/>
  <c r="BC283" i="1"/>
  <c r="AZ283" i="1"/>
  <c r="AS283" i="1"/>
  <c r="AW283" i="1" s="1"/>
  <c r="AR283" i="1"/>
  <c r="BD282" i="1"/>
  <c r="BC282" i="1"/>
  <c r="AZ282" i="1"/>
  <c r="AS282" i="1"/>
  <c r="AR282" i="1"/>
  <c r="BD281" i="1"/>
  <c r="BC281" i="1"/>
  <c r="AZ281" i="1"/>
  <c r="AS281" i="1"/>
  <c r="AU281" i="1" s="1"/>
  <c r="AR281" i="1"/>
  <c r="BD280" i="1"/>
  <c r="BC280" i="1"/>
  <c r="AZ280" i="1"/>
  <c r="AS280" i="1"/>
  <c r="AW280" i="1" s="1"/>
  <c r="AR280" i="1"/>
  <c r="BD279" i="1"/>
  <c r="BC279" i="1"/>
  <c r="AZ279" i="1"/>
  <c r="AS279" i="1"/>
  <c r="AR279" i="1"/>
  <c r="BD278" i="1"/>
  <c r="BC278" i="1"/>
  <c r="AZ278" i="1"/>
  <c r="AS278" i="1"/>
  <c r="AV278" i="1" s="1"/>
  <c r="AR278" i="1"/>
  <c r="BD277" i="1"/>
  <c r="BC277" i="1"/>
  <c r="AZ277" i="1"/>
  <c r="AS277" i="1"/>
  <c r="AR277" i="1"/>
  <c r="BD276" i="1"/>
  <c r="BC276" i="1"/>
  <c r="AZ276" i="1"/>
  <c r="AS276" i="1"/>
  <c r="AV276" i="1" s="1"/>
  <c r="AR276" i="1"/>
  <c r="BD275" i="1"/>
  <c r="BC275" i="1"/>
  <c r="AZ275" i="1"/>
  <c r="AS275" i="1"/>
  <c r="AV275" i="1" s="1"/>
  <c r="AR275" i="1"/>
  <c r="BD274" i="1"/>
  <c r="BC274" i="1"/>
  <c r="AZ274" i="1"/>
  <c r="AS274" i="1"/>
  <c r="AR274" i="1"/>
  <c r="BD273" i="1"/>
  <c r="BC273" i="1"/>
  <c r="AZ273" i="1"/>
  <c r="AS273" i="1"/>
  <c r="AR273" i="1"/>
  <c r="BD272" i="1"/>
  <c r="BC272" i="1"/>
  <c r="AZ272" i="1"/>
  <c r="AS272" i="1"/>
  <c r="AU272" i="1" s="1"/>
  <c r="AR272" i="1"/>
  <c r="BD271" i="1"/>
  <c r="BC271" i="1"/>
  <c r="AZ271" i="1"/>
  <c r="AS271" i="1"/>
  <c r="AV271" i="1" s="1"/>
  <c r="AR271" i="1"/>
  <c r="BD270" i="1"/>
  <c r="BC270" i="1"/>
  <c r="AZ270" i="1"/>
  <c r="AS270" i="1"/>
  <c r="AV270" i="1" s="1"/>
  <c r="AR270" i="1"/>
  <c r="BD269" i="1"/>
  <c r="BC269" i="1"/>
  <c r="AZ269" i="1"/>
  <c r="AS269" i="1"/>
  <c r="AR269" i="1"/>
  <c r="BD268" i="1"/>
  <c r="BC268" i="1"/>
  <c r="AZ268" i="1"/>
  <c r="AS268" i="1"/>
  <c r="AU268" i="1" s="1"/>
  <c r="AR268" i="1"/>
  <c r="BD267" i="1"/>
  <c r="BC267" i="1"/>
  <c r="AZ267" i="1"/>
  <c r="AS267" i="1"/>
  <c r="AW267" i="1" s="1"/>
  <c r="AR267" i="1"/>
  <c r="BD266" i="1"/>
  <c r="BC266" i="1"/>
  <c r="AZ266" i="1"/>
  <c r="AS266" i="1"/>
  <c r="AV266" i="1" s="1"/>
  <c r="AR266" i="1"/>
  <c r="BD265" i="1"/>
  <c r="BC265" i="1"/>
  <c r="AZ265" i="1"/>
  <c r="AS265" i="1"/>
  <c r="AU265" i="1" s="1"/>
  <c r="AR265" i="1"/>
  <c r="BD264" i="1"/>
  <c r="BC264" i="1"/>
  <c r="AZ264" i="1"/>
  <c r="AS264" i="1"/>
  <c r="AR264" i="1"/>
  <c r="BD263" i="1"/>
  <c r="BC263" i="1"/>
  <c r="AZ263" i="1"/>
  <c r="AS263" i="1"/>
  <c r="AR263" i="1"/>
  <c r="BD262" i="1"/>
  <c r="BC262" i="1"/>
  <c r="AZ262" i="1"/>
  <c r="AS262" i="1"/>
  <c r="AR262" i="1"/>
  <c r="BD261" i="1"/>
  <c r="BC261" i="1"/>
  <c r="AZ261" i="1"/>
  <c r="AS261" i="1"/>
  <c r="AR261" i="1"/>
  <c r="BD260" i="1"/>
  <c r="BC260" i="1"/>
  <c r="AZ260" i="1"/>
  <c r="AS260" i="1"/>
  <c r="AW260" i="1" s="1"/>
  <c r="AR260" i="1"/>
  <c r="BD259" i="1"/>
  <c r="BC259" i="1"/>
  <c r="AZ259" i="1"/>
  <c r="AS259" i="1"/>
  <c r="AW259" i="1" s="1"/>
  <c r="AR259" i="1"/>
  <c r="BD258" i="1"/>
  <c r="BC258" i="1"/>
  <c r="AZ258" i="1"/>
  <c r="AS258" i="1"/>
  <c r="AW258" i="1" s="1"/>
  <c r="AR258" i="1"/>
  <c r="BD257" i="1"/>
  <c r="BC257" i="1"/>
  <c r="AZ257" i="1"/>
  <c r="AS257" i="1"/>
  <c r="AW257" i="1" s="1"/>
  <c r="AR257" i="1"/>
  <c r="BD256" i="1"/>
  <c r="BC256" i="1"/>
  <c r="AZ256" i="1"/>
  <c r="AS256" i="1"/>
  <c r="AR256" i="1"/>
  <c r="BD255" i="1"/>
  <c r="BC255" i="1"/>
  <c r="AZ255" i="1"/>
  <c r="AS255" i="1"/>
  <c r="AR255" i="1"/>
  <c r="BD254" i="1"/>
  <c r="BC254" i="1"/>
  <c r="AZ254" i="1"/>
  <c r="AS254" i="1"/>
  <c r="AR254" i="1"/>
  <c r="BD253" i="1"/>
  <c r="BC253" i="1"/>
  <c r="AZ253" i="1"/>
  <c r="AS253" i="1"/>
  <c r="AR253" i="1"/>
  <c r="BD252" i="1"/>
  <c r="BC252" i="1"/>
  <c r="AZ252" i="1"/>
  <c r="AS252" i="1"/>
  <c r="AV252" i="1" s="1"/>
  <c r="AR252" i="1"/>
  <c r="BD251" i="1"/>
  <c r="BC251" i="1"/>
  <c r="AZ251" i="1"/>
  <c r="AS251" i="1"/>
  <c r="AV251" i="1" s="1"/>
  <c r="AR251" i="1"/>
  <c r="BD250" i="1"/>
  <c r="BC250" i="1"/>
  <c r="AZ250" i="1"/>
  <c r="AS250" i="1"/>
  <c r="AW250" i="1" s="1"/>
  <c r="AR250" i="1"/>
  <c r="BD249" i="1"/>
  <c r="BC249" i="1"/>
  <c r="AZ249" i="1"/>
  <c r="AS249" i="1"/>
  <c r="AR249" i="1"/>
  <c r="BD248" i="1"/>
  <c r="BC248" i="1"/>
  <c r="AZ248" i="1"/>
  <c r="AS248" i="1"/>
  <c r="AR248" i="1"/>
  <c r="BD247" i="1"/>
  <c r="BC247" i="1"/>
  <c r="AZ247" i="1"/>
  <c r="AS247" i="1"/>
  <c r="AW247" i="1" s="1"/>
  <c r="AR247" i="1"/>
  <c r="BD246" i="1"/>
  <c r="BC246" i="1"/>
  <c r="AZ246" i="1"/>
  <c r="AS246" i="1"/>
  <c r="AR246" i="1"/>
  <c r="BD245" i="1"/>
  <c r="BC245" i="1"/>
  <c r="AZ245" i="1"/>
  <c r="AS245" i="1"/>
  <c r="AR245" i="1"/>
  <c r="BD244" i="1"/>
  <c r="BC244" i="1"/>
  <c r="AZ244" i="1"/>
  <c r="AS244" i="1"/>
  <c r="AU244" i="1" s="1"/>
  <c r="AR244" i="1"/>
  <c r="BD243" i="1"/>
  <c r="BC243" i="1"/>
  <c r="AZ243" i="1"/>
  <c r="AS243" i="1"/>
  <c r="AW243" i="1" s="1"/>
  <c r="AR243" i="1"/>
  <c r="BD242" i="1"/>
  <c r="BC242" i="1"/>
  <c r="AZ242" i="1"/>
  <c r="AS242" i="1"/>
  <c r="AU242" i="1" s="1"/>
  <c r="AR242" i="1"/>
  <c r="BD241" i="1"/>
  <c r="BC241" i="1"/>
  <c r="AZ241" i="1"/>
  <c r="AS241" i="1"/>
  <c r="AU241" i="1" s="1"/>
  <c r="AR241" i="1"/>
  <c r="BD240" i="1"/>
  <c r="BC240" i="1"/>
  <c r="AZ240" i="1"/>
  <c r="AS240" i="1"/>
  <c r="AR240" i="1"/>
  <c r="BC239" i="1"/>
  <c r="AZ239" i="1"/>
  <c r="AS239" i="1"/>
  <c r="AU239" i="1" s="1"/>
  <c r="AR239" i="1"/>
  <c r="BC238" i="1"/>
  <c r="AZ238" i="1"/>
  <c r="AS238" i="1"/>
  <c r="AR238" i="1"/>
  <c r="BC237" i="1"/>
  <c r="AZ237" i="1"/>
  <c r="AS237" i="1"/>
  <c r="AV237" i="1" s="1"/>
  <c r="AR237" i="1"/>
  <c r="BC236" i="1"/>
  <c r="AZ236" i="1"/>
  <c r="AS236" i="1"/>
  <c r="AU236" i="1" s="1"/>
  <c r="AR236" i="1"/>
  <c r="BD235" i="1"/>
  <c r="BC235" i="1"/>
  <c r="AZ235" i="1"/>
  <c r="AS235" i="1"/>
  <c r="AU235" i="1" s="1"/>
  <c r="AR235" i="1"/>
  <c r="BD234" i="1"/>
  <c r="BC234" i="1"/>
  <c r="AZ234" i="1"/>
  <c r="AS234" i="1"/>
  <c r="AW234" i="1" s="1"/>
  <c r="AR234" i="1"/>
  <c r="BD233" i="1"/>
  <c r="BC233" i="1"/>
  <c r="AZ233" i="1"/>
  <c r="AS233" i="1"/>
  <c r="AV233" i="1" s="1"/>
  <c r="AR233" i="1"/>
  <c r="BD232" i="1"/>
  <c r="BC232" i="1"/>
  <c r="AZ232" i="1"/>
  <c r="AS232" i="1"/>
  <c r="AR232" i="1"/>
  <c r="BD231" i="1"/>
  <c r="BC231" i="1"/>
  <c r="AZ231" i="1"/>
  <c r="AS231" i="1"/>
  <c r="AU231" i="1" s="1"/>
  <c r="AR231" i="1"/>
  <c r="BD230" i="1"/>
  <c r="BC230" i="1"/>
  <c r="AZ230" i="1"/>
  <c r="AS230" i="1"/>
  <c r="AR230" i="1"/>
  <c r="BD229" i="1"/>
  <c r="BC229" i="1"/>
  <c r="AZ229" i="1"/>
  <c r="AS229" i="1"/>
  <c r="AV229" i="1" s="1"/>
  <c r="AR229" i="1"/>
  <c r="BD228" i="1"/>
  <c r="BC228" i="1"/>
  <c r="AZ228" i="1"/>
  <c r="AS228" i="1"/>
  <c r="AU228" i="1" s="1"/>
  <c r="AR228" i="1"/>
  <c r="BD227" i="1"/>
  <c r="BC227" i="1"/>
  <c r="AZ227" i="1"/>
  <c r="AS227" i="1"/>
  <c r="AU227" i="1" s="1"/>
  <c r="AR227" i="1"/>
  <c r="BD226" i="1"/>
  <c r="BC226" i="1"/>
  <c r="AZ226" i="1"/>
  <c r="AS226" i="1"/>
  <c r="AW226" i="1" s="1"/>
  <c r="AR226" i="1"/>
  <c r="BD225" i="1"/>
  <c r="BC225" i="1"/>
  <c r="AZ225" i="1"/>
  <c r="AS225" i="1"/>
  <c r="AV225" i="1" s="1"/>
  <c r="AR225" i="1"/>
  <c r="BD224" i="1"/>
  <c r="BC224" i="1"/>
  <c r="AZ224" i="1"/>
  <c r="AS224" i="1"/>
  <c r="AR224" i="1"/>
  <c r="BD223" i="1"/>
  <c r="BC223" i="1"/>
  <c r="AZ223" i="1"/>
  <c r="AS223" i="1"/>
  <c r="AU223" i="1" s="1"/>
  <c r="AR223" i="1"/>
  <c r="BD222" i="1"/>
  <c r="BC222" i="1"/>
  <c r="AZ222" i="1"/>
  <c r="AS222" i="1"/>
  <c r="AR222" i="1"/>
  <c r="BD221" i="1"/>
  <c r="BC221" i="1"/>
  <c r="AZ221" i="1"/>
  <c r="AS221" i="1"/>
  <c r="AV221" i="1" s="1"/>
  <c r="AR221" i="1"/>
  <c r="BC220" i="1"/>
  <c r="AZ220" i="1"/>
  <c r="AS220" i="1"/>
  <c r="AU220" i="1" s="1"/>
  <c r="AR220" i="1"/>
  <c r="BC219" i="1"/>
  <c r="AZ219" i="1"/>
  <c r="AS219" i="1"/>
  <c r="AW219" i="1" s="1"/>
  <c r="AR219" i="1"/>
  <c r="BC218" i="1"/>
  <c r="AZ218" i="1"/>
  <c r="AS218" i="1"/>
  <c r="AR218" i="1"/>
  <c r="BD214" i="1"/>
  <c r="BC214" i="1"/>
  <c r="AZ214" i="1"/>
  <c r="AS214" i="1"/>
  <c r="AR214" i="1"/>
  <c r="BD213" i="1"/>
  <c r="BC213" i="1"/>
  <c r="AZ213" i="1"/>
  <c r="AS213" i="1"/>
  <c r="AW213" i="1" s="1"/>
  <c r="AR213" i="1"/>
  <c r="BD212" i="1"/>
  <c r="BC212" i="1"/>
  <c r="AZ212" i="1"/>
  <c r="AS212" i="1"/>
  <c r="AU212" i="1" s="1"/>
  <c r="AR212" i="1"/>
  <c r="BD211" i="1"/>
  <c r="BC211" i="1"/>
  <c r="AZ211" i="1"/>
  <c r="AS211" i="1"/>
  <c r="AV211" i="1" s="1"/>
  <c r="AR211" i="1"/>
  <c r="BD210" i="1"/>
  <c r="BC210" i="1"/>
  <c r="AZ210" i="1"/>
  <c r="AS210" i="1"/>
  <c r="AU210" i="1" s="1"/>
  <c r="AR210" i="1"/>
  <c r="BD209" i="1"/>
  <c r="BC209" i="1"/>
  <c r="AZ209" i="1"/>
  <c r="AS209" i="1"/>
  <c r="AV209" i="1" s="1"/>
  <c r="AR209" i="1"/>
  <c r="BD208" i="1"/>
  <c r="BC208" i="1"/>
  <c r="AZ208" i="1"/>
  <c r="AS208" i="1"/>
  <c r="AV208" i="1" s="1"/>
  <c r="AR208" i="1"/>
  <c r="BD207" i="1"/>
  <c r="BC207" i="1"/>
  <c r="AZ207" i="1"/>
  <c r="AS207" i="1"/>
  <c r="AR207" i="1"/>
  <c r="BD206" i="1"/>
  <c r="BC206" i="1"/>
  <c r="AZ206" i="1"/>
  <c r="AS206" i="1"/>
  <c r="AV206" i="1" s="1"/>
  <c r="AR206" i="1"/>
  <c r="BD205" i="1"/>
  <c r="BC205" i="1"/>
  <c r="AZ205" i="1"/>
  <c r="AS205" i="1"/>
  <c r="AW205" i="1" s="1"/>
  <c r="AR205" i="1"/>
  <c r="BD204" i="1"/>
  <c r="BC204" i="1"/>
  <c r="AZ204" i="1"/>
  <c r="AS204" i="1"/>
  <c r="AU204" i="1" s="1"/>
  <c r="AR204" i="1"/>
  <c r="BD203" i="1"/>
  <c r="BC203" i="1"/>
  <c r="AZ203" i="1"/>
  <c r="AS203" i="1"/>
  <c r="AV203" i="1" s="1"/>
  <c r="AR203" i="1"/>
  <c r="BD202" i="1"/>
  <c r="BC202" i="1"/>
  <c r="AZ202" i="1"/>
  <c r="AS202" i="1"/>
  <c r="AU202" i="1" s="1"/>
  <c r="AR202" i="1"/>
  <c r="BD201" i="1"/>
  <c r="BC201" i="1"/>
  <c r="AZ201" i="1"/>
  <c r="AS201" i="1"/>
  <c r="AV201" i="1" s="1"/>
  <c r="AR201" i="1"/>
  <c r="BD200" i="1"/>
  <c r="BC200" i="1"/>
  <c r="AZ200" i="1"/>
  <c r="AS200" i="1"/>
  <c r="AR200" i="1"/>
  <c r="BD199" i="1"/>
  <c r="BC199" i="1"/>
  <c r="AZ199" i="1"/>
  <c r="AS199" i="1"/>
  <c r="AV199" i="1" s="1"/>
  <c r="AR199" i="1"/>
  <c r="BD198" i="1"/>
  <c r="BC198" i="1"/>
  <c r="AZ198" i="1"/>
  <c r="AS198" i="1"/>
  <c r="AU198" i="1" s="1"/>
  <c r="AR198" i="1"/>
  <c r="BD197" i="1"/>
  <c r="BC197" i="1"/>
  <c r="AZ197" i="1"/>
  <c r="AS197" i="1"/>
  <c r="AU197" i="1" s="1"/>
  <c r="AR197" i="1"/>
  <c r="BD196" i="1"/>
  <c r="BC196" i="1"/>
  <c r="AZ196" i="1"/>
  <c r="AS196" i="1"/>
  <c r="AV196" i="1" s="1"/>
  <c r="AR196" i="1"/>
  <c r="BD195" i="1"/>
  <c r="BC195" i="1"/>
  <c r="AZ195" i="1"/>
  <c r="AS195" i="1"/>
  <c r="AR195" i="1"/>
  <c r="BD194" i="1"/>
  <c r="BC194" i="1"/>
  <c r="AZ194" i="1"/>
  <c r="AS194" i="1"/>
  <c r="AV194" i="1" s="1"/>
  <c r="AR194" i="1"/>
  <c r="BD193" i="1"/>
  <c r="BC193" i="1"/>
  <c r="AZ193" i="1"/>
  <c r="AS193" i="1"/>
  <c r="AW193" i="1" s="1"/>
  <c r="AR193" i="1"/>
  <c r="BD192" i="1"/>
  <c r="BC192" i="1"/>
  <c r="AZ192" i="1"/>
  <c r="AS192" i="1"/>
  <c r="AW192" i="1" s="1"/>
  <c r="AR192" i="1"/>
  <c r="BD191" i="1"/>
  <c r="BC191" i="1"/>
  <c r="AZ191" i="1"/>
  <c r="AS191" i="1"/>
  <c r="AR191" i="1"/>
  <c r="BD190" i="1"/>
  <c r="BC190" i="1"/>
  <c r="AZ190" i="1"/>
  <c r="AS190" i="1"/>
  <c r="AR190" i="1"/>
  <c r="BD189" i="1"/>
  <c r="BC189" i="1"/>
  <c r="AZ189" i="1"/>
  <c r="AS189" i="1"/>
  <c r="AR189" i="1"/>
  <c r="BD188" i="1"/>
  <c r="BC188" i="1"/>
  <c r="AZ188" i="1"/>
  <c r="AS188" i="1"/>
  <c r="AU188" i="1" s="1"/>
  <c r="AR188" i="1"/>
  <c r="BD187" i="1"/>
  <c r="BC187" i="1"/>
  <c r="AZ187" i="1"/>
  <c r="AS187" i="1"/>
  <c r="AR187" i="1"/>
  <c r="BD186" i="1"/>
  <c r="BC186" i="1"/>
  <c r="AZ186" i="1"/>
  <c r="AS186" i="1"/>
  <c r="AU186" i="1" s="1"/>
  <c r="AR186" i="1"/>
  <c r="BD185" i="1"/>
  <c r="BC185" i="1"/>
  <c r="AZ185" i="1"/>
  <c r="AS185" i="1"/>
  <c r="AV185" i="1" s="1"/>
  <c r="AR185" i="1"/>
  <c r="BD184" i="1"/>
  <c r="BC184" i="1"/>
  <c r="AZ184" i="1"/>
  <c r="AS184" i="1"/>
  <c r="AW184" i="1" s="1"/>
  <c r="AR184" i="1"/>
  <c r="BD183" i="1"/>
  <c r="BC183" i="1"/>
  <c r="AZ183" i="1"/>
  <c r="AS183" i="1"/>
  <c r="AU183" i="1" s="1"/>
  <c r="AR183" i="1"/>
  <c r="BD182" i="1"/>
  <c r="BC182" i="1"/>
  <c r="AZ182" i="1"/>
  <c r="AS182" i="1"/>
  <c r="AR182" i="1"/>
  <c r="BD181" i="1"/>
  <c r="BC181" i="1"/>
  <c r="AZ181" i="1"/>
  <c r="AS181" i="1"/>
  <c r="AW181" i="1" s="1"/>
  <c r="AR181" i="1"/>
  <c r="BD180" i="1"/>
  <c r="BC180" i="1"/>
  <c r="AZ180" i="1"/>
  <c r="AS180" i="1"/>
  <c r="AR180" i="1"/>
  <c r="BD179" i="1"/>
  <c r="BC179" i="1"/>
  <c r="AZ179" i="1"/>
  <c r="AS179" i="1"/>
  <c r="AW179" i="1" s="1"/>
  <c r="AR179" i="1"/>
  <c r="BD178" i="1"/>
  <c r="BC178" i="1"/>
  <c r="AZ178" i="1"/>
  <c r="AS178" i="1"/>
  <c r="AU178" i="1" s="1"/>
  <c r="AR178" i="1"/>
  <c r="BD176" i="1"/>
  <c r="BC176" i="1"/>
  <c r="AZ176" i="1"/>
  <c r="AS176" i="1"/>
  <c r="AR176" i="1"/>
  <c r="BD172" i="1"/>
  <c r="BC172" i="1"/>
  <c r="AZ172" i="1"/>
  <c r="AS172" i="1"/>
  <c r="AR172" i="1"/>
  <c r="BD171" i="1"/>
  <c r="BC171" i="1"/>
  <c r="AZ171" i="1"/>
  <c r="AS171" i="1"/>
  <c r="AV171" i="1" s="1"/>
  <c r="AR171" i="1"/>
  <c r="BD170" i="1"/>
  <c r="BC170" i="1"/>
  <c r="AZ170" i="1"/>
  <c r="AS170" i="1"/>
  <c r="AW170" i="1" s="1"/>
  <c r="AR170" i="1"/>
  <c r="BD169" i="1"/>
  <c r="BC169" i="1"/>
  <c r="AZ169" i="1"/>
  <c r="AS169" i="1"/>
  <c r="AV169" i="1" s="1"/>
  <c r="AR169" i="1"/>
  <c r="BD168" i="1"/>
  <c r="BC168" i="1"/>
  <c r="AZ168" i="1"/>
  <c r="AS168" i="1"/>
  <c r="AR168" i="1"/>
  <c r="BD167" i="1"/>
  <c r="BC167" i="1"/>
  <c r="AZ167" i="1"/>
  <c r="AS167" i="1"/>
  <c r="AV167" i="1" s="1"/>
  <c r="AR167" i="1"/>
  <c r="BD166" i="1"/>
  <c r="BC166" i="1"/>
  <c r="AZ166" i="1"/>
  <c r="AS166" i="1"/>
  <c r="AV166" i="1" s="1"/>
  <c r="AR166" i="1"/>
  <c r="BD165" i="1"/>
  <c r="BC165" i="1"/>
  <c r="AZ165" i="1"/>
  <c r="AS165" i="1"/>
  <c r="AW165" i="1" s="1"/>
  <c r="AR165" i="1"/>
  <c r="BD164" i="1"/>
  <c r="BC164" i="1"/>
  <c r="AZ164" i="1"/>
  <c r="AS164" i="1"/>
  <c r="AU164" i="1" s="1"/>
  <c r="AR164" i="1"/>
  <c r="BD163" i="1"/>
  <c r="BC163" i="1"/>
  <c r="AZ163" i="1"/>
  <c r="AS163" i="1"/>
  <c r="AR163" i="1"/>
  <c r="BD162" i="1"/>
  <c r="BC162" i="1"/>
  <c r="AZ162" i="1"/>
  <c r="AS162" i="1"/>
  <c r="AW162" i="1" s="1"/>
  <c r="AR162" i="1"/>
  <c r="BD161" i="1"/>
  <c r="BC161" i="1"/>
  <c r="AZ161" i="1"/>
  <c r="AS161" i="1"/>
  <c r="AR161" i="1"/>
  <c r="BD160" i="1"/>
  <c r="BC160" i="1"/>
  <c r="AZ160" i="1"/>
  <c r="AS160" i="1"/>
  <c r="AV160" i="1" s="1"/>
  <c r="AR160" i="1"/>
  <c r="BD159" i="1"/>
  <c r="BC159" i="1"/>
  <c r="AZ159" i="1"/>
  <c r="AS159" i="1"/>
  <c r="AR159" i="1"/>
  <c r="BD158" i="1"/>
  <c r="BC158" i="1"/>
  <c r="AZ158" i="1"/>
  <c r="AS158" i="1"/>
  <c r="AV158" i="1" s="1"/>
  <c r="AR158" i="1"/>
  <c r="BD157" i="1"/>
  <c r="BC157" i="1"/>
  <c r="AZ157" i="1"/>
  <c r="AS157" i="1"/>
  <c r="AR157" i="1"/>
  <c r="BD156" i="1"/>
  <c r="BC156" i="1"/>
  <c r="AZ156" i="1"/>
  <c r="AS156" i="1"/>
  <c r="AU156" i="1" s="1"/>
  <c r="AR156" i="1"/>
  <c r="BD155" i="1"/>
  <c r="BC155" i="1"/>
  <c r="AZ155" i="1"/>
  <c r="AS155" i="1"/>
  <c r="AU155" i="1" s="1"/>
  <c r="AR155" i="1"/>
  <c r="BD154" i="1"/>
  <c r="BC154" i="1"/>
  <c r="AZ154" i="1"/>
  <c r="AS154" i="1"/>
  <c r="AW154" i="1" s="1"/>
  <c r="AR154" i="1"/>
  <c r="BD153" i="1"/>
  <c r="BC153" i="1"/>
  <c r="AZ153" i="1"/>
  <c r="AS153" i="1"/>
  <c r="AV153" i="1" s="1"/>
  <c r="AR153" i="1"/>
  <c r="BD152" i="1"/>
  <c r="BC152" i="1"/>
  <c r="AZ152" i="1"/>
  <c r="AS152" i="1"/>
  <c r="AR152" i="1"/>
  <c r="BD151" i="1"/>
  <c r="BC151" i="1"/>
  <c r="AZ151" i="1"/>
  <c r="AS151" i="1"/>
  <c r="AV151" i="1" s="1"/>
  <c r="AR151" i="1"/>
  <c r="BC150" i="1"/>
  <c r="AZ150" i="1"/>
  <c r="AS150" i="1"/>
  <c r="AU150" i="1" s="1"/>
  <c r="AR150" i="1"/>
  <c r="BC149" i="1"/>
  <c r="AZ149" i="1"/>
  <c r="AS149" i="1"/>
  <c r="AR149" i="1"/>
  <c r="BC148" i="1"/>
  <c r="AZ148" i="1"/>
  <c r="AS148" i="1"/>
  <c r="AV148" i="1" s="1"/>
  <c r="AR148" i="1"/>
  <c r="BC147" i="1"/>
  <c r="AZ147" i="1"/>
  <c r="AS147" i="1"/>
  <c r="AU147" i="1" s="1"/>
  <c r="AR147" i="1"/>
  <c r="BD143" i="1"/>
  <c r="BC143" i="1"/>
  <c r="AZ143" i="1"/>
  <c r="AS143" i="1"/>
  <c r="AU143" i="1" s="1"/>
  <c r="AR143" i="1"/>
  <c r="BD142" i="1"/>
  <c r="BC142" i="1"/>
  <c r="AZ142" i="1"/>
  <c r="AS142" i="1"/>
  <c r="AV142" i="1" s="1"/>
  <c r="AR142" i="1"/>
  <c r="BD141" i="1"/>
  <c r="BC141" i="1"/>
  <c r="AZ141" i="1"/>
  <c r="AS141" i="1"/>
  <c r="AW141" i="1" s="1"/>
  <c r="AR141" i="1"/>
  <c r="BD140" i="1"/>
  <c r="BC140" i="1"/>
  <c r="AZ140" i="1"/>
  <c r="AS140" i="1"/>
  <c r="AR140" i="1"/>
  <c r="BD139" i="1"/>
  <c r="BC139" i="1"/>
  <c r="AZ139" i="1"/>
  <c r="AS139" i="1"/>
  <c r="AW139" i="1" s="1"/>
  <c r="AR139" i="1"/>
  <c r="BD138" i="1"/>
  <c r="BC138" i="1"/>
  <c r="AZ138" i="1"/>
  <c r="AS138" i="1"/>
  <c r="AU138" i="1" s="1"/>
  <c r="AR138" i="1"/>
  <c r="BD137" i="1"/>
  <c r="BC137" i="1"/>
  <c r="AZ137" i="1"/>
  <c r="AS137" i="1"/>
  <c r="AW137" i="1" s="1"/>
  <c r="AR137" i="1"/>
  <c r="BD136" i="1"/>
  <c r="BC136" i="1"/>
  <c r="AZ136" i="1"/>
  <c r="AS136" i="1"/>
  <c r="AU136" i="1" s="1"/>
  <c r="AR136" i="1"/>
  <c r="BD135" i="1"/>
  <c r="BC135" i="1"/>
  <c r="AZ135" i="1"/>
  <c r="AS135" i="1"/>
  <c r="AU135" i="1" s="1"/>
  <c r="AR135" i="1"/>
  <c r="BD134" i="1"/>
  <c r="BC134" i="1"/>
  <c r="AZ134" i="1"/>
  <c r="AS134" i="1"/>
  <c r="AU134" i="1" s="1"/>
  <c r="AR134" i="1"/>
  <c r="BD133" i="1"/>
  <c r="BC133" i="1"/>
  <c r="AZ133" i="1"/>
  <c r="AS133" i="1"/>
  <c r="AU133" i="1" s="1"/>
  <c r="AR133" i="1"/>
  <c r="BD132" i="1"/>
  <c r="BC132" i="1"/>
  <c r="AZ132" i="1"/>
  <c r="AS132" i="1"/>
  <c r="AV132" i="1" s="1"/>
  <c r="AR132" i="1"/>
  <c r="BD131" i="1"/>
  <c r="BC131" i="1"/>
  <c r="AZ131" i="1"/>
  <c r="AS131" i="1"/>
  <c r="AR131" i="1"/>
  <c r="BD130" i="1"/>
  <c r="BC130" i="1"/>
  <c r="AZ130" i="1"/>
  <c r="AS130" i="1"/>
  <c r="AR130" i="1"/>
  <c r="BD129" i="1"/>
  <c r="BC129" i="1"/>
  <c r="AZ129" i="1"/>
  <c r="AS129" i="1"/>
  <c r="AR129" i="1"/>
  <c r="BD128" i="1"/>
  <c r="BC128" i="1"/>
  <c r="AZ128" i="1"/>
  <c r="AS128" i="1"/>
  <c r="AV128" i="1" s="1"/>
  <c r="AR128" i="1"/>
  <c r="BD127" i="1"/>
  <c r="BC127" i="1"/>
  <c r="AZ127" i="1"/>
  <c r="AS127" i="1"/>
  <c r="AU127" i="1" s="1"/>
  <c r="AR127" i="1"/>
  <c r="BD126" i="1"/>
  <c r="BC126" i="1"/>
  <c r="AZ126" i="1"/>
  <c r="AS126" i="1"/>
  <c r="AV126" i="1" s="1"/>
  <c r="AR126" i="1"/>
  <c r="BD125" i="1"/>
  <c r="BC125" i="1"/>
  <c r="AZ125" i="1"/>
  <c r="AS125" i="1"/>
  <c r="AW125" i="1" s="1"/>
  <c r="AR125" i="1"/>
  <c r="BD124" i="1"/>
  <c r="BC124" i="1"/>
  <c r="AZ124" i="1"/>
  <c r="AS124" i="1"/>
  <c r="AW124" i="1" s="1"/>
  <c r="AR124" i="1"/>
  <c r="BC123" i="1"/>
  <c r="AZ123" i="1"/>
  <c r="AS123" i="1"/>
  <c r="AU123" i="1" s="1"/>
  <c r="AR123" i="1"/>
  <c r="BC122" i="1"/>
  <c r="AZ122" i="1"/>
  <c r="AS122" i="1"/>
  <c r="AR122" i="1"/>
  <c r="BC121" i="1"/>
  <c r="AZ121" i="1"/>
  <c r="AS121" i="1"/>
  <c r="AR121" i="1"/>
  <c r="BC120" i="1"/>
  <c r="AZ120" i="1"/>
  <c r="AS120" i="1"/>
  <c r="AV120" i="1" s="1"/>
  <c r="AR120" i="1"/>
  <c r="BC119" i="1"/>
  <c r="AZ119" i="1"/>
  <c r="AS119" i="1"/>
  <c r="AV119" i="1" s="1"/>
  <c r="AR119" i="1"/>
  <c r="BD113" i="1"/>
  <c r="BC113" i="1"/>
  <c r="AZ113" i="1"/>
  <c r="AS113" i="1"/>
  <c r="AR113" i="1"/>
  <c r="BD112" i="1"/>
  <c r="BC112" i="1"/>
  <c r="AZ112" i="1"/>
  <c r="AS112" i="1"/>
  <c r="AV112" i="1" s="1"/>
  <c r="AR112" i="1"/>
  <c r="BD111" i="1"/>
  <c r="BC111" i="1"/>
  <c r="AZ111" i="1"/>
  <c r="AS111" i="1"/>
  <c r="AR111" i="1"/>
  <c r="BD110" i="1"/>
  <c r="BC110" i="1"/>
  <c r="AZ110" i="1"/>
  <c r="AS110" i="1"/>
  <c r="AU110" i="1" s="1"/>
  <c r="AR110" i="1"/>
  <c r="BD109" i="1"/>
  <c r="BC109" i="1"/>
  <c r="AZ109" i="1"/>
  <c r="AS109" i="1"/>
  <c r="AW109" i="1" s="1"/>
  <c r="AR109" i="1"/>
  <c r="BD108" i="1"/>
  <c r="BC108" i="1"/>
  <c r="AZ108" i="1"/>
  <c r="AS108" i="1"/>
  <c r="AW108" i="1" s="1"/>
  <c r="AR108" i="1"/>
  <c r="BD107" i="1"/>
  <c r="BC107" i="1"/>
  <c r="AZ107" i="1"/>
  <c r="AS107" i="1"/>
  <c r="AU107" i="1" s="1"/>
  <c r="AR107" i="1"/>
  <c r="BD106" i="1"/>
  <c r="BC106" i="1"/>
  <c r="AZ106" i="1"/>
  <c r="AS106" i="1"/>
  <c r="AR106" i="1"/>
  <c r="BD105" i="1"/>
  <c r="BC105" i="1"/>
  <c r="AZ105" i="1"/>
  <c r="AS105" i="1"/>
  <c r="AW105" i="1" s="1"/>
  <c r="AR105" i="1"/>
  <c r="BD104" i="1"/>
  <c r="BC104" i="1"/>
  <c r="AZ104" i="1"/>
  <c r="AS104" i="1"/>
  <c r="AU104" i="1" s="1"/>
  <c r="AR104" i="1"/>
  <c r="BD103" i="1"/>
  <c r="BC103" i="1"/>
  <c r="AZ103" i="1"/>
  <c r="AS103" i="1"/>
  <c r="AW103" i="1" s="1"/>
  <c r="AR103" i="1"/>
  <c r="BD102" i="1"/>
  <c r="BC102" i="1"/>
  <c r="AZ102" i="1"/>
  <c r="AS102" i="1"/>
  <c r="AU102" i="1" s="1"/>
  <c r="AR102" i="1"/>
  <c r="BD101" i="1"/>
  <c r="BC101" i="1"/>
  <c r="AZ101" i="1"/>
  <c r="AS101" i="1"/>
  <c r="AW101" i="1" s="1"/>
  <c r="AR101" i="1"/>
  <c r="BD100" i="1"/>
  <c r="BC100" i="1"/>
  <c r="AZ100" i="1"/>
  <c r="AS100" i="1"/>
  <c r="AV100" i="1" s="1"/>
  <c r="AR100" i="1"/>
  <c r="BD99" i="1"/>
  <c r="BC99" i="1"/>
  <c r="AZ99" i="1"/>
  <c r="AS99" i="1"/>
  <c r="AR99" i="1"/>
  <c r="BD98" i="1"/>
  <c r="BC98" i="1"/>
  <c r="AZ98" i="1"/>
  <c r="AS98" i="1"/>
  <c r="AW98" i="1" s="1"/>
  <c r="AR98" i="1"/>
  <c r="BD97" i="1"/>
  <c r="BC97" i="1"/>
  <c r="AZ97" i="1"/>
  <c r="AS97" i="1"/>
  <c r="AV97" i="1" s="1"/>
  <c r="AR97" i="1"/>
  <c r="BD96" i="1"/>
  <c r="BC96" i="1"/>
  <c r="AZ96" i="1"/>
  <c r="AS96" i="1"/>
  <c r="AV96" i="1" s="1"/>
  <c r="AR96" i="1"/>
  <c r="BD95" i="1"/>
  <c r="BC95" i="1"/>
  <c r="AZ95" i="1"/>
  <c r="AS95" i="1"/>
  <c r="AU95" i="1" s="1"/>
  <c r="AR95" i="1"/>
  <c r="BD94" i="1"/>
  <c r="BC94" i="1"/>
  <c r="AZ94" i="1"/>
  <c r="AS94" i="1"/>
  <c r="AR94" i="1"/>
  <c r="BD93" i="1"/>
  <c r="BC93" i="1"/>
  <c r="AZ93" i="1"/>
  <c r="AS93" i="1"/>
  <c r="AW93" i="1" s="1"/>
  <c r="AR93" i="1"/>
  <c r="BD92" i="1"/>
  <c r="BC92" i="1"/>
  <c r="AZ92" i="1"/>
  <c r="AS92" i="1"/>
  <c r="AR92" i="1"/>
  <c r="BD91" i="1"/>
  <c r="BC91" i="1"/>
  <c r="AZ91" i="1"/>
  <c r="AS91" i="1"/>
  <c r="AR91" i="1"/>
  <c r="BD90" i="1"/>
  <c r="BC90" i="1"/>
  <c r="AZ90" i="1"/>
  <c r="AS90" i="1"/>
  <c r="AU90" i="1" s="1"/>
  <c r="AR90" i="1"/>
  <c r="BD89" i="1"/>
  <c r="BC89" i="1"/>
  <c r="AZ89" i="1"/>
  <c r="AS89" i="1"/>
  <c r="AV89" i="1" s="1"/>
  <c r="AR89" i="1"/>
  <c r="BD88" i="1"/>
  <c r="BC88" i="1"/>
  <c r="AZ88" i="1"/>
  <c r="AS88" i="1"/>
  <c r="AR88" i="1"/>
  <c r="BD87" i="1"/>
  <c r="BC87" i="1"/>
  <c r="AZ87" i="1"/>
  <c r="AS87" i="1"/>
  <c r="AU87" i="1" s="1"/>
  <c r="AR87" i="1"/>
  <c r="BD86" i="1"/>
  <c r="BC86" i="1"/>
  <c r="AZ86" i="1"/>
  <c r="AS86" i="1"/>
  <c r="AR86" i="1"/>
  <c r="BD85" i="1"/>
  <c r="BC85" i="1"/>
  <c r="AZ85" i="1"/>
  <c r="AS85" i="1"/>
  <c r="AR85" i="1"/>
  <c r="BD84" i="1"/>
  <c r="BC84" i="1"/>
  <c r="AZ84" i="1"/>
  <c r="AS84" i="1"/>
  <c r="AW84" i="1" s="1"/>
  <c r="AR84" i="1"/>
  <c r="BD83" i="1"/>
  <c r="BC83" i="1"/>
  <c r="AZ83" i="1"/>
  <c r="AS83" i="1"/>
  <c r="AU83" i="1" s="1"/>
  <c r="AR83" i="1"/>
  <c r="BD82" i="1"/>
  <c r="BC82" i="1"/>
  <c r="AZ82" i="1"/>
  <c r="AS82" i="1"/>
  <c r="AV82" i="1" s="1"/>
  <c r="AR82" i="1"/>
  <c r="BD81" i="1"/>
  <c r="BC81" i="1"/>
  <c r="AZ81" i="1"/>
  <c r="AS81" i="1"/>
  <c r="AR81" i="1"/>
  <c r="BC80" i="1"/>
  <c r="AZ80" i="1"/>
  <c r="AS80" i="1"/>
  <c r="AV80" i="1" s="1"/>
  <c r="AR80" i="1"/>
  <c r="BC79" i="1"/>
  <c r="AZ79" i="1"/>
  <c r="AS79" i="1"/>
  <c r="AW79" i="1" s="1"/>
  <c r="AR79" i="1"/>
  <c r="BC78" i="1"/>
  <c r="AZ78" i="1"/>
  <c r="AS78" i="1"/>
  <c r="AV78" i="1" s="1"/>
  <c r="AR78" i="1"/>
  <c r="BD72" i="1"/>
  <c r="BC72" i="1"/>
  <c r="AZ72" i="1"/>
  <c r="AS72" i="1"/>
  <c r="AU72" i="1" s="1"/>
  <c r="AR72" i="1"/>
  <c r="BD71" i="1"/>
  <c r="BC71" i="1"/>
  <c r="AZ71" i="1"/>
  <c r="AS71" i="1"/>
  <c r="AR71" i="1"/>
  <c r="BD70" i="1"/>
  <c r="BC70" i="1"/>
  <c r="AZ70" i="1"/>
  <c r="AS70" i="1"/>
  <c r="AW70" i="1" s="1"/>
  <c r="AR70" i="1"/>
  <c r="BD69" i="1"/>
  <c r="BC69" i="1"/>
  <c r="AZ69" i="1"/>
  <c r="AS69" i="1"/>
  <c r="AV69" i="1" s="1"/>
  <c r="AR69" i="1"/>
  <c r="BD68" i="1"/>
  <c r="BC68" i="1"/>
  <c r="AZ68" i="1"/>
  <c r="AS68" i="1"/>
  <c r="AW68" i="1" s="1"/>
  <c r="AR68" i="1"/>
  <c r="BD67" i="1"/>
  <c r="BC67" i="1"/>
  <c r="AZ67" i="1"/>
  <c r="AS67" i="1"/>
  <c r="AR67" i="1"/>
  <c r="BD66" i="1"/>
  <c r="BC66" i="1"/>
  <c r="AZ66" i="1"/>
  <c r="AS66" i="1"/>
  <c r="AW66" i="1" s="1"/>
  <c r="AR66" i="1"/>
  <c r="BD65" i="1"/>
  <c r="BC65" i="1"/>
  <c r="AZ65" i="1"/>
  <c r="AS65" i="1"/>
  <c r="AV65" i="1" s="1"/>
  <c r="AR65" i="1"/>
  <c r="BD64" i="1"/>
  <c r="BC64" i="1"/>
  <c r="AZ64" i="1"/>
  <c r="AS64" i="1"/>
  <c r="AR64" i="1"/>
  <c r="BD63" i="1"/>
  <c r="BC63" i="1"/>
  <c r="AZ63" i="1"/>
  <c r="AS63" i="1"/>
  <c r="AW63" i="1" s="1"/>
  <c r="AR63" i="1"/>
  <c r="BD62" i="1"/>
  <c r="BC62" i="1"/>
  <c r="AZ62" i="1"/>
  <c r="AS62" i="1"/>
  <c r="AV62" i="1" s="1"/>
  <c r="AR62" i="1"/>
  <c r="BD61" i="1"/>
  <c r="BC61" i="1"/>
  <c r="AZ61" i="1"/>
  <c r="AS61" i="1"/>
  <c r="AV61" i="1" s="1"/>
  <c r="AR61" i="1"/>
  <c r="BD60" i="1"/>
  <c r="BC60" i="1"/>
  <c r="AZ60" i="1"/>
  <c r="AS60" i="1"/>
  <c r="AU60" i="1" s="1"/>
  <c r="AR60" i="1"/>
  <c r="BD59" i="1"/>
  <c r="BC59" i="1"/>
  <c r="AZ59" i="1"/>
  <c r="AS59" i="1"/>
  <c r="AR59" i="1"/>
  <c r="BD58" i="1"/>
  <c r="BC58" i="1"/>
  <c r="AZ58" i="1"/>
  <c r="AS58" i="1"/>
  <c r="AW58" i="1" s="1"/>
  <c r="AR58" i="1"/>
  <c r="BD57" i="1"/>
  <c r="BC57" i="1"/>
  <c r="AZ57" i="1"/>
  <c r="AS57" i="1"/>
  <c r="AR57" i="1"/>
  <c r="BD56" i="1"/>
  <c r="BC56" i="1"/>
  <c r="AZ56" i="1"/>
  <c r="AS56" i="1"/>
  <c r="AR56" i="1"/>
  <c r="BD55" i="1"/>
  <c r="BC55" i="1"/>
  <c r="AZ55" i="1"/>
  <c r="AS55" i="1"/>
  <c r="AU55" i="1" s="1"/>
  <c r="AR55" i="1"/>
  <c r="BD54" i="1"/>
  <c r="BC54" i="1"/>
  <c r="AZ54" i="1"/>
  <c r="AS54" i="1"/>
  <c r="AV54" i="1" s="1"/>
  <c r="AR54" i="1"/>
  <c r="BD53" i="1"/>
  <c r="BC53" i="1"/>
  <c r="AZ53" i="1"/>
  <c r="AS53" i="1"/>
  <c r="AR53" i="1"/>
  <c r="BD52" i="1"/>
  <c r="BC52" i="1"/>
  <c r="AZ52" i="1"/>
  <c r="AS52" i="1"/>
  <c r="AU52" i="1" s="1"/>
  <c r="AR52" i="1"/>
  <c r="BD51" i="1"/>
  <c r="BC51" i="1"/>
  <c r="AZ51" i="1"/>
  <c r="AS51" i="1"/>
  <c r="AR51" i="1"/>
  <c r="BD50" i="1"/>
  <c r="BC50" i="1"/>
  <c r="AZ50" i="1"/>
  <c r="AS50" i="1"/>
  <c r="AR50" i="1"/>
  <c r="BD49" i="1"/>
  <c r="BC49" i="1"/>
  <c r="AZ49" i="1"/>
  <c r="AS49" i="1"/>
  <c r="AR49" i="1"/>
  <c r="BD48" i="1"/>
  <c r="BC48" i="1"/>
  <c r="AZ48" i="1"/>
  <c r="AS48" i="1"/>
  <c r="AU48" i="1" s="1"/>
  <c r="AR48" i="1"/>
  <c r="BD47" i="1"/>
  <c r="BC47" i="1"/>
  <c r="AZ47" i="1"/>
  <c r="AS47" i="1"/>
  <c r="AV47" i="1" s="1"/>
  <c r="AR47" i="1"/>
  <c r="BD46" i="1"/>
  <c r="BC46" i="1"/>
  <c r="AZ46" i="1"/>
  <c r="AS46" i="1"/>
  <c r="AR46" i="1"/>
  <c r="BD45" i="1"/>
  <c r="BC45" i="1"/>
  <c r="AZ45" i="1"/>
  <c r="AS45" i="1"/>
  <c r="AV45" i="1" s="1"/>
  <c r="AR45" i="1"/>
  <c r="BD44" i="1"/>
  <c r="BC44" i="1"/>
  <c r="AZ44" i="1"/>
  <c r="AS44" i="1"/>
  <c r="AU44" i="1" s="1"/>
  <c r="AR44" i="1"/>
  <c r="BD43" i="1"/>
  <c r="BC43" i="1"/>
  <c r="AZ43" i="1"/>
  <c r="AS43" i="1"/>
  <c r="AV43" i="1" s="1"/>
  <c r="AR43" i="1"/>
  <c r="BD42" i="1"/>
  <c r="BC42" i="1"/>
  <c r="AZ42" i="1"/>
  <c r="AS42" i="1"/>
  <c r="AW42" i="1" s="1"/>
  <c r="AR42" i="1"/>
  <c r="BD41" i="1"/>
  <c r="BC41" i="1"/>
  <c r="AZ41" i="1"/>
  <c r="AS41" i="1"/>
  <c r="AR41" i="1"/>
  <c r="BD40" i="1"/>
  <c r="BC40" i="1"/>
  <c r="AZ40" i="1"/>
  <c r="AS40" i="1"/>
  <c r="AU40" i="1" s="1"/>
  <c r="AR40" i="1"/>
  <c r="BD39" i="1"/>
  <c r="BC39" i="1"/>
  <c r="AZ39" i="1"/>
  <c r="AS39" i="1"/>
  <c r="AR39" i="1"/>
  <c r="BD38" i="1"/>
  <c r="BC38" i="1"/>
  <c r="AZ38" i="1"/>
  <c r="AS38" i="1"/>
  <c r="AW38" i="1" s="1"/>
  <c r="AR38" i="1"/>
  <c r="BD37" i="1"/>
  <c r="BC37" i="1"/>
  <c r="AZ37" i="1"/>
  <c r="AS37" i="1"/>
  <c r="AV37" i="1" s="1"/>
  <c r="AR37" i="1"/>
  <c r="BD36" i="1"/>
  <c r="BC36" i="1"/>
  <c r="AZ36" i="1"/>
  <c r="AS36" i="1"/>
  <c r="AW36" i="1" s="1"/>
  <c r="AR36" i="1"/>
  <c r="BD35" i="1"/>
  <c r="BC35" i="1"/>
  <c r="AZ35" i="1"/>
  <c r="AS35" i="1"/>
  <c r="AR35" i="1"/>
  <c r="BD34" i="1"/>
  <c r="BC34" i="1"/>
  <c r="AZ34" i="1"/>
  <c r="AS34" i="1"/>
  <c r="AW34" i="1" s="1"/>
  <c r="AR34" i="1"/>
  <c r="BD33" i="1"/>
  <c r="BC33" i="1"/>
  <c r="AZ33" i="1"/>
  <c r="AS33" i="1"/>
  <c r="AR33" i="1"/>
  <c r="BD32" i="1"/>
  <c r="BC32" i="1"/>
  <c r="AZ32" i="1"/>
  <c r="AS32" i="1"/>
  <c r="AR32" i="1"/>
  <c r="BD31" i="1"/>
  <c r="BC31" i="1"/>
  <c r="AZ31" i="1"/>
  <c r="AS31" i="1"/>
  <c r="AW31" i="1" s="1"/>
  <c r="AR31" i="1"/>
  <c r="BD30" i="1"/>
  <c r="BC30" i="1"/>
  <c r="AZ30" i="1"/>
  <c r="AS30" i="1"/>
  <c r="AW30" i="1" s="1"/>
  <c r="AR30" i="1"/>
  <c r="BD29" i="1"/>
  <c r="BC29" i="1"/>
  <c r="AZ29" i="1"/>
  <c r="AS29" i="1"/>
  <c r="AV29" i="1" s="1"/>
  <c r="AR29" i="1"/>
  <c r="BD28" i="1"/>
  <c r="BC28" i="1"/>
  <c r="AZ28" i="1"/>
  <c r="AS28" i="1"/>
  <c r="AR28" i="1"/>
  <c r="BD27" i="1"/>
  <c r="BC27" i="1"/>
  <c r="AZ27" i="1"/>
  <c r="AS27" i="1"/>
  <c r="AV27" i="1" s="1"/>
  <c r="AR27" i="1"/>
  <c r="BD26" i="1"/>
  <c r="BC26" i="1"/>
  <c r="AZ26" i="1"/>
  <c r="AS26" i="1"/>
  <c r="AW26" i="1" s="1"/>
  <c r="AR26" i="1"/>
  <c r="BD25" i="1"/>
  <c r="BC25" i="1"/>
  <c r="AZ25" i="1"/>
  <c r="AS25" i="1"/>
  <c r="AR25" i="1"/>
  <c r="BD24" i="1"/>
  <c r="BC24" i="1"/>
  <c r="AZ24" i="1"/>
  <c r="AS24" i="1"/>
  <c r="AU24" i="1" s="1"/>
  <c r="AR24" i="1"/>
  <c r="BD23" i="1"/>
  <c r="BC23" i="1"/>
  <c r="AZ23" i="1"/>
  <c r="AS23" i="1"/>
  <c r="AU23" i="1" s="1"/>
  <c r="AR23" i="1"/>
  <c r="BD22" i="1"/>
  <c r="BC22" i="1"/>
  <c r="AZ22" i="1"/>
  <c r="AS22" i="1"/>
  <c r="AV22" i="1" s="1"/>
  <c r="AR22" i="1"/>
  <c r="BD21" i="1"/>
  <c r="BC21" i="1"/>
  <c r="AZ21" i="1"/>
  <c r="AS21" i="1"/>
  <c r="AR21" i="1"/>
  <c r="BD20" i="1"/>
  <c r="BC20" i="1"/>
  <c r="AZ20" i="1"/>
  <c r="AS20" i="1"/>
  <c r="AW20" i="1" s="1"/>
  <c r="AR20" i="1"/>
  <c r="BD19" i="1"/>
  <c r="BC19" i="1"/>
  <c r="AZ19" i="1"/>
  <c r="AS19" i="1"/>
  <c r="AU19" i="1" s="1"/>
  <c r="AR19" i="1"/>
  <c r="BD18" i="1"/>
  <c r="BC18" i="1"/>
  <c r="AZ18" i="1"/>
  <c r="AS18" i="1"/>
  <c r="AR18" i="1"/>
  <c r="BD17" i="1"/>
  <c r="BC17" i="1"/>
  <c r="AZ17" i="1"/>
  <c r="AS17" i="1"/>
  <c r="AW17" i="1" s="1"/>
  <c r="AR17" i="1"/>
  <c r="BD16" i="1"/>
  <c r="BC16" i="1"/>
  <c r="AZ16" i="1"/>
  <c r="AS16" i="1"/>
  <c r="AU16" i="1" s="1"/>
  <c r="AR16" i="1"/>
  <c r="BD15" i="1"/>
  <c r="BC15" i="1"/>
  <c r="AZ15" i="1"/>
  <c r="AS15" i="1"/>
  <c r="AR15" i="1"/>
  <c r="BD14" i="1"/>
  <c r="BC14" i="1"/>
  <c r="AZ14" i="1"/>
  <c r="AS14" i="1"/>
  <c r="AR14" i="1"/>
  <c r="BD13" i="1"/>
  <c r="BC13" i="1"/>
  <c r="AZ13" i="1"/>
  <c r="AS13" i="1"/>
  <c r="AR13" i="1"/>
  <c r="BD12" i="1"/>
  <c r="BC12" i="1"/>
  <c r="AZ12" i="1"/>
  <c r="AS12" i="1"/>
  <c r="AU12" i="1" s="1"/>
  <c r="AR12" i="1"/>
  <c r="BD11" i="1"/>
  <c r="BC11" i="1"/>
  <c r="AZ11" i="1"/>
  <c r="AS11" i="1"/>
  <c r="AW11" i="1" s="1"/>
  <c r="AR11" i="1"/>
  <c r="BD10" i="1"/>
  <c r="BC10" i="1"/>
  <c r="AZ10" i="1"/>
  <c r="AS10" i="1"/>
  <c r="AW10" i="1" s="1"/>
  <c r="AR10" i="1"/>
  <c r="BD9" i="1"/>
  <c r="BC9" i="1"/>
  <c r="AZ9" i="1"/>
  <c r="AS9" i="1"/>
  <c r="AW9" i="1" s="1"/>
  <c r="AR9" i="1"/>
  <c r="BD8" i="1"/>
  <c r="BC8" i="1"/>
  <c r="AZ8" i="1"/>
  <c r="AS8" i="1"/>
  <c r="AU8" i="1" s="1"/>
  <c r="AR8" i="1"/>
  <c r="BD7" i="1"/>
  <c r="BC7" i="1"/>
  <c r="AZ7" i="1"/>
  <c r="AS7" i="1"/>
  <c r="AR7" i="1"/>
  <c r="BD6" i="1"/>
  <c r="BC6" i="1"/>
  <c r="AZ6" i="1"/>
  <c r="AS6" i="1"/>
  <c r="AW6" i="1" s="1"/>
  <c r="AR6" i="1"/>
  <c r="BD5" i="1"/>
  <c r="BC5" i="1"/>
  <c r="AZ5" i="1"/>
  <c r="AS5" i="1"/>
  <c r="AV5" i="1" s="1"/>
  <c r="AR5" i="1"/>
  <c r="BD4" i="1"/>
  <c r="BC4" i="1"/>
  <c r="AZ4" i="1"/>
  <c r="AS4" i="1"/>
  <c r="AR4" i="1"/>
  <c r="S540" i="1"/>
  <c r="S72" i="1"/>
  <c r="S420" i="1"/>
  <c r="S71" i="1"/>
  <c r="S169" i="1"/>
  <c r="S539" i="1"/>
  <c r="S171"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492" i="1"/>
  <c r="S143" i="1"/>
  <c r="V149" i="1"/>
  <c r="V147" i="1"/>
  <c r="U147" i="1"/>
  <c r="S538" i="1"/>
  <c r="S421"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1" i="1"/>
  <c r="S440" i="1"/>
  <c r="S439" i="1"/>
  <c r="S438" i="1"/>
  <c r="S437" i="1"/>
  <c r="S436" i="1"/>
  <c r="S435" i="1"/>
  <c r="S434" i="1"/>
  <c r="S433" i="1"/>
  <c r="S432" i="1"/>
  <c r="S431" i="1"/>
  <c r="S430" i="1"/>
  <c r="S429" i="1"/>
  <c r="S428" i="1"/>
  <c r="S427" i="1"/>
  <c r="S422"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172" i="1"/>
  <c r="S170" i="1"/>
  <c r="S111" i="1"/>
  <c r="S70" i="1"/>
  <c r="R520" i="11"/>
  <c r="L520" i="11"/>
  <c r="D520" i="11"/>
  <c r="S279" i="1"/>
  <c r="J279" i="1"/>
  <c r="S142" i="1"/>
  <c r="BB424" i="1" l="1"/>
  <c r="AW424" i="1"/>
  <c r="AV424" i="1"/>
  <c r="AU424" i="1"/>
  <c r="BB216" i="1"/>
  <c r="AW217" i="1"/>
  <c r="AV217" i="1"/>
  <c r="BD217" i="1"/>
  <c r="BB215" i="1"/>
  <c r="BB173" i="1"/>
  <c r="BB217" i="1"/>
  <c r="BB423" i="1"/>
  <c r="AV216" i="1"/>
  <c r="AV215" i="1"/>
  <c r="AU173" i="1"/>
  <c r="AW216" i="1"/>
  <c r="AW215" i="1"/>
  <c r="AV173" i="1"/>
  <c r="AW423" i="1"/>
  <c r="AV423" i="1"/>
  <c r="AU423" i="1"/>
  <c r="BB146" i="1"/>
  <c r="AU145" i="1"/>
  <c r="BB100" i="1"/>
  <c r="BB145" i="1"/>
  <c r="AW146" i="1"/>
  <c r="BB134" i="1"/>
  <c r="BD146" i="1"/>
  <c r="AV146" i="1"/>
  <c r="AV145" i="1"/>
  <c r="BB74" i="1"/>
  <c r="AU74" i="1"/>
  <c r="AV74" i="1"/>
  <c r="BB144" i="1"/>
  <c r="AV144" i="1"/>
  <c r="AW144" i="1"/>
  <c r="AW338" i="1"/>
  <c r="AV338" i="1"/>
  <c r="BB344" i="1"/>
  <c r="BB73" i="1"/>
  <c r="AV73" i="1"/>
  <c r="AW73" i="1"/>
  <c r="AV513" i="1"/>
  <c r="BB9" i="1"/>
  <c r="BB490" i="1"/>
  <c r="AV495" i="1"/>
  <c r="AU441" i="1"/>
  <c r="AW315" i="1"/>
  <c r="AV431" i="1"/>
  <c r="BB44" i="1"/>
  <c r="AW52" i="1"/>
  <c r="AV55" i="1"/>
  <c r="AU69" i="1"/>
  <c r="BB70" i="1"/>
  <c r="AW55" i="1"/>
  <c r="AW69" i="1"/>
  <c r="BB261" i="1"/>
  <c r="BB159" i="1"/>
  <c r="AW244" i="1"/>
  <c r="BB487" i="1"/>
  <c r="BB252" i="1"/>
  <c r="AW265" i="1"/>
  <c r="AV506" i="1"/>
  <c r="AU383" i="1"/>
  <c r="AV528" i="1"/>
  <c r="BB155" i="1"/>
  <c r="AW499" i="1"/>
  <c r="BB507" i="1"/>
  <c r="BB242" i="1"/>
  <c r="BB256" i="1"/>
  <c r="AU299" i="1"/>
  <c r="BB316" i="1"/>
  <c r="BB120" i="1"/>
  <c r="BB122" i="1"/>
  <c r="AW183" i="1"/>
  <c r="AW252" i="1"/>
  <c r="BB258" i="1"/>
  <c r="BB269" i="1"/>
  <c r="BB306" i="1"/>
  <c r="BB338" i="1"/>
  <c r="BB354" i="1"/>
  <c r="BB379" i="1"/>
  <c r="BB202" i="1"/>
  <c r="AV235" i="1"/>
  <c r="BD149" i="1"/>
  <c r="AV283" i="1"/>
  <c r="AU319" i="1"/>
  <c r="AV432" i="1"/>
  <c r="BB27" i="1"/>
  <c r="BB35" i="1"/>
  <c r="BB43" i="1"/>
  <c r="BB140" i="1"/>
  <c r="BB188" i="1"/>
  <c r="BB219" i="1"/>
  <c r="AV226" i="1"/>
  <c r="AV244" i="1"/>
  <c r="AW319" i="1"/>
  <c r="AW324" i="1"/>
  <c r="AV514" i="1"/>
  <c r="BB324" i="1"/>
  <c r="BB176" i="1"/>
  <c r="AW211" i="1"/>
  <c r="BB67" i="1"/>
  <c r="BB101" i="1"/>
  <c r="BB126" i="1"/>
  <c r="AW158" i="1"/>
  <c r="BB167" i="1"/>
  <c r="BB178" i="1"/>
  <c r="BB329" i="1"/>
  <c r="BB355" i="1"/>
  <c r="AV399" i="1"/>
  <c r="AW164" i="1"/>
  <c r="AW167" i="1"/>
  <c r="BB39" i="1"/>
  <c r="BB47" i="1"/>
  <c r="BB331" i="1"/>
  <c r="AW385" i="1"/>
  <c r="AV19" i="1"/>
  <c r="BB25" i="1"/>
  <c r="BB28" i="1"/>
  <c r="AW128" i="1"/>
  <c r="AU151" i="1"/>
  <c r="AU160" i="1"/>
  <c r="AU166" i="1"/>
  <c r="AU243" i="1"/>
  <c r="BB276" i="1"/>
  <c r="AU284" i="1"/>
  <c r="BB307" i="1"/>
  <c r="BB345" i="1"/>
  <c r="BB416" i="1"/>
  <c r="AW431" i="1"/>
  <c r="AW432" i="1"/>
  <c r="BB8" i="1"/>
  <c r="AW19" i="1"/>
  <c r="BB95" i="1"/>
  <c r="BB103" i="1"/>
  <c r="AW151" i="1"/>
  <c r="AW166" i="1"/>
  <c r="BB208" i="1"/>
  <c r="BB211" i="1"/>
  <c r="BB218" i="1"/>
  <c r="AV243" i="1"/>
  <c r="AV272" i="1"/>
  <c r="AW275" i="1"/>
  <c r="BB387" i="1"/>
  <c r="AU392" i="1"/>
  <c r="AV409" i="1"/>
  <c r="BB457" i="1"/>
  <c r="AW473" i="1"/>
  <c r="AU513" i="1"/>
  <c r="BB514" i="1"/>
  <c r="AU524" i="1"/>
  <c r="BB525" i="1"/>
  <c r="BB533" i="1"/>
  <c r="BB151" i="1"/>
  <c r="BB166" i="1"/>
  <c r="BB186" i="1"/>
  <c r="BB210" i="1"/>
  <c r="BB243" i="1"/>
  <c r="BB314" i="1"/>
  <c r="BB483" i="1"/>
  <c r="AW524" i="1"/>
  <c r="AV48" i="1"/>
  <c r="BB508" i="1"/>
  <c r="BB530" i="1"/>
  <c r="AW136" i="1"/>
  <c r="BB15" i="1"/>
  <c r="BB29" i="1"/>
  <c r="BB37" i="1"/>
  <c r="AW48" i="1"/>
  <c r="BB110" i="1"/>
  <c r="AV135" i="1"/>
  <c r="BB183" i="1"/>
  <c r="AU251" i="1"/>
  <c r="BB308" i="1"/>
  <c r="BB346" i="1"/>
  <c r="BB372" i="1"/>
  <c r="BB380" i="1"/>
  <c r="AU414" i="1"/>
  <c r="AW439" i="1"/>
  <c r="BB447" i="1"/>
  <c r="AW461" i="1"/>
  <c r="BB467" i="1"/>
  <c r="BB524" i="1"/>
  <c r="BB65" i="1"/>
  <c r="AW135" i="1"/>
  <c r="AW251" i="1"/>
  <c r="BB138" i="1"/>
  <c r="BB158" i="1"/>
  <c r="BB237" i="1"/>
  <c r="AV299" i="1"/>
  <c r="BB351" i="1"/>
  <c r="AV365" i="1"/>
  <c r="BB436" i="1"/>
  <c r="AU449" i="1"/>
  <c r="BB517" i="1"/>
  <c r="BB96" i="1"/>
  <c r="BB108" i="1"/>
  <c r="BB132" i="1"/>
  <c r="BB142" i="1"/>
  <c r="BB328" i="1"/>
  <c r="BB7" i="1"/>
  <c r="BB10" i="1"/>
  <c r="AU30" i="1"/>
  <c r="BB33" i="1"/>
  <c r="BB72" i="1"/>
  <c r="BB90" i="1"/>
  <c r="BB102" i="1"/>
  <c r="BB123" i="1"/>
  <c r="BB129" i="1"/>
  <c r="BB139" i="1"/>
  <c r="BB221" i="1"/>
  <c r="BB281" i="1"/>
  <c r="BB297" i="1"/>
  <c r="AW370" i="1"/>
  <c r="AU379" i="1"/>
  <c r="BB408" i="1"/>
  <c r="BB415" i="1"/>
  <c r="BB450" i="1"/>
  <c r="AV473" i="1"/>
  <c r="AV497" i="1"/>
  <c r="AV515" i="1"/>
  <c r="BB152" i="1"/>
  <c r="BB161" i="1"/>
  <c r="AU167" i="1"/>
  <c r="AV186" i="1"/>
  <c r="BB187" i="1"/>
  <c r="BB201" i="1"/>
  <c r="AV210" i="1"/>
  <c r="BB284" i="1"/>
  <c r="BB300" i="1"/>
  <c r="BB309" i="1"/>
  <c r="BB312" i="1"/>
  <c r="BB337" i="1"/>
  <c r="BB343" i="1"/>
  <c r="BB353" i="1"/>
  <c r="BB433" i="1"/>
  <c r="AV44" i="1"/>
  <c r="AU101" i="1"/>
  <c r="BB523" i="1"/>
  <c r="BB12" i="1"/>
  <c r="AV23" i="1"/>
  <c r="AU43" i="1"/>
  <c r="AW62" i="1"/>
  <c r="AW268" i="1"/>
  <c r="BB272" i="1"/>
  <c r="BB275" i="1"/>
  <c r="AW286" i="1"/>
  <c r="AW311" i="1"/>
  <c r="BB322" i="1"/>
  <c r="AV334" i="1"/>
  <c r="BB335" i="1"/>
  <c r="BB361" i="1"/>
  <c r="AV384" i="1"/>
  <c r="AV410" i="1"/>
  <c r="AU419" i="1"/>
  <c r="AV420" i="1"/>
  <c r="BB449" i="1"/>
  <c r="BB464" i="1"/>
  <c r="AW469" i="1"/>
  <c r="AU490" i="1"/>
  <c r="BB538" i="1"/>
  <c r="BB84" i="1"/>
  <c r="BB125" i="1"/>
  <c r="AV178" i="1"/>
  <c r="AW185" i="1"/>
  <c r="BB195" i="1"/>
  <c r="AW209" i="1"/>
  <c r="BB220" i="1"/>
  <c r="AU225" i="1"/>
  <c r="BB226" i="1"/>
  <c r="BB229" i="1"/>
  <c r="AW235" i="1"/>
  <c r="AW23" i="1"/>
  <c r="BB26" i="1"/>
  <c r="BB32" i="1"/>
  <c r="AW37" i="1"/>
  <c r="AW43" i="1"/>
  <c r="BB50" i="1"/>
  <c r="AW83" i="1"/>
  <c r="AU97" i="1"/>
  <c r="AU109" i="1"/>
  <c r="AV124" i="1"/>
  <c r="AV133" i="1"/>
  <c r="AV143" i="1"/>
  <c r="BB148" i="1"/>
  <c r="BB179" i="1"/>
  <c r="AW194" i="1"/>
  <c r="BB200" i="1"/>
  <c r="AW203" i="1"/>
  <c r="AV228" i="1"/>
  <c r="AU234" i="1"/>
  <c r="BB247" i="1"/>
  <c r="BB265" i="1"/>
  <c r="AU292" i="1"/>
  <c r="AU329" i="1"/>
  <c r="AU330" i="1"/>
  <c r="AW334" i="1"/>
  <c r="AU345" i="1"/>
  <c r="AU349" i="1"/>
  <c r="BB410" i="1"/>
  <c r="AV419" i="1"/>
  <c r="AW420" i="1"/>
  <c r="AW427" i="1"/>
  <c r="BB454" i="1"/>
  <c r="AU457" i="1"/>
  <c r="BB458" i="1"/>
  <c r="AV490" i="1"/>
  <c r="AV522" i="1"/>
  <c r="AW537" i="1"/>
  <c r="AU62" i="1"/>
  <c r="AW143" i="1"/>
  <c r="AV181" i="1"/>
  <c r="AV202" i="1"/>
  <c r="AU237" i="1"/>
  <c r="BB244" i="1"/>
  <c r="AV267" i="1"/>
  <c r="BB268" i="1"/>
  <c r="BB277" i="1"/>
  <c r="BB286" i="1"/>
  <c r="AV292" i="1"/>
  <c r="BB299" i="1"/>
  <c r="BB311" i="1"/>
  <c r="AV329" i="1"/>
  <c r="AV330" i="1"/>
  <c r="AV345" i="1"/>
  <c r="BB493" i="1"/>
  <c r="BB498" i="1"/>
  <c r="AV83" i="1"/>
  <c r="AW150" i="1"/>
  <c r="AW97" i="1"/>
  <c r="BB16" i="1"/>
  <c r="AV108" i="1"/>
  <c r="BB124" i="1"/>
  <c r="AU158" i="1"/>
  <c r="BB191" i="1"/>
  <c r="BB194" i="1"/>
  <c r="AW202" i="1"/>
  <c r="AW221" i="1"/>
  <c r="BB228" i="1"/>
  <c r="AW233" i="1"/>
  <c r="BB234" i="1"/>
  <c r="BB249" i="1"/>
  <c r="AU252" i="1"/>
  <c r="AV258" i="1"/>
  <c r="AW288" i="1"/>
  <c r="AV291" i="1"/>
  <c r="BB292" i="1"/>
  <c r="AW301" i="1"/>
  <c r="BB313" i="1"/>
  <c r="AV316" i="1"/>
  <c r="BB321" i="1"/>
  <c r="BB334" i="1"/>
  <c r="AU338" i="1"/>
  <c r="BB339" i="1"/>
  <c r="BB489" i="1"/>
  <c r="BB505" i="1"/>
  <c r="AW528" i="1"/>
  <c r="BB537" i="1"/>
  <c r="AV59" i="1"/>
  <c r="AU59" i="1"/>
  <c r="AW12" i="1"/>
  <c r="AV41" i="1"/>
  <c r="AU41" i="1"/>
  <c r="AU121" i="1"/>
  <c r="AW121" i="1"/>
  <c r="AV121" i="1"/>
  <c r="AU190" i="1"/>
  <c r="AV190" i="1"/>
  <c r="AV13" i="1"/>
  <c r="AW13" i="1"/>
  <c r="AU56" i="1"/>
  <c r="AW56" i="1"/>
  <c r="AW59" i="1"/>
  <c r="BB68" i="1"/>
  <c r="AV86" i="1"/>
  <c r="AW86" i="1"/>
  <c r="AU86" i="1"/>
  <c r="AV94" i="1"/>
  <c r="AW94" i="1"/>
  <c r="AW22" i="1"/>
  <c r="AV15" i="1"/>
  <c r="AW15" i="1"/>
  <c r="AV33" i="1"/>
  <c r="AW33" i="1"/>
  <c r="AW49" i="1"/>
  <c r="AV49" i="1"/>
  <c r="AW67" i="1"/>
  <c r="AU67" i="1"/>
  <c r="BB36" i="1"/>
  <c r="AU11" i="1"/>
  <c r="AV11" i="1"/>
  <c r="AW35" i="1"/>
  <c r="AU35" i="1"/>
  <c r="AW41" i="1"/>
  <c r="AW51" i="1"/>
  <c r="AV51" i="1"/>
  <c r="AW380" i="1"/>
  <c r="AW44" i="1"/>
  <c r="BB55" i="1"/>
  <c r="BB69" i="1"/>
  <c r="BB82" i="1"/>
  <c r="AV101" i="1"/>
  <c r="AU105" i="1"/>
  <c r="AU108" i="1"/>
  <c r="AV109" i="1"/>
  <c r="BB130" i="1"/>
  <c r="AW133" i="1"/>
  <c r="BB147" i="1"/>
  <c r="BB149" i="1"/>
  <c r="AU165" i="1"/>
  <c r="BB168" i="1"/>
  <c r="AV184" i="1"/>
  <c r="BB185" i="1"/>
  <c r="BB198" i="1"/>
  <c r="AW201" i="1"/>
  <c r="BB203" i="1"/>
  <c r="BB209" i="1"/>
  <c r="BB227" i="1"/>
  <c r="AV234" i="1"/>
  <c r="BB245" i="1"/>
  <c r="AV259" i="1"/>
  <c r="AU270" i="1"/>
  <c r="BB271" i="1"/>
  <c r="BB274" i="1"/>
  <c r="AW284" i="1"/>
  <c r="BB285" i="1"/>
  <c r="BB288" i="1"/>
  <c r="AW291" i="1"/>
  <c r="BB293" i="1"/>
  <c r="AV300" i="1"/>
  <c r="BB327" i="1"/>
  <c r="BB330" i="1"/>
  <c r="AU360" i="1"/>
  <c r="AV367" i="1"/>
  <c r="AW383" i="1"/>
  <c r="AW384" i="1"/>
  <c r="AU388" i="1"/>
  <c r="AV392" i="1"/>
  <c r="AW399" i="1"/>
  <c r="AW409" i="1"/>
  <c r="AW410" i="1"/>
  <c r="BB411" i="1"/>
  <c r="BB414" i="1"/>
  <c r="BB427" i="1"/>
  <c r="BB430" i="1"/>
  <c r="BB437" i="1"/>
  <c r="AU483" i="1"/>
  <c r="BB484" i="1"/>
  <c r="AW501" i="1"/>
  <c r="BB509" i="1"/>
  <c r="BB515" i="1"/>
  <c r="BB531" i="1"/>
  <c r="BB535" i="1"/>
  <c r="AV165" i="1"/>
  <c r="AV360" i="1"/>
  <c r="AW367" i="1"/>
  <c r="AV388" i="1"/>
  <c r="AW483" i="1"/>
  <c r="AU534" i="1"/>
  <c r="AV537" i="1"/>
  <c r="BB133" i="1"/>
  <c r="BB141" i="1"/>
  <c r="AV247" i="1"/>
  <c r="AU276" i="1"/>
  <c r="BB291" i="1"/>
  <c r="AU370" i="1"/>
  <c r="AU371" i="1"/>
  <c r="BB395" i="1"/>
  <c r="BB398" i="1"/>
  <c r="BB399" i="1"/>
  <c r="BB402" i="1"/>
  <c r="AU439" i="1"/>
  <c r="AU440" i="1"/>
  <c r="BB446" i="1"/>
  <c r="BB460" i="1"/>
  <c r="BB488" i="1"/>
  <c r="BB492" i="1"/>
  <c r="AU507" i="1"/>
  <c r="BB91" i="1"/>
  <c r="BB109" i="1"/>
  <c r="BB19" i="1"/>
  <c r="BB23" i="1"/>
  <c r="BB61" i="1"/>
  <c r="AW90" i="1"/>
  <c r="BB104" i="1"/>
  <c r="BB107" i="1"/>
  <c r="AW119" i="1"/>
  <c r="AU124" i="1"/>
  <c r="AV136" i="1"/>
  <c r="BB137" i="1"/>
  <c r="AV150" i="1"/>
  <c r="BB164" i="1"/>
  <c r="BB172" i="1"/>
  <c r="BB225" i="1"/>
  <c r="BB233" i="1"/>
  <c r="BB250" i="1"/>
  <c r="AU267" i="1"/>
  <c r="AV268" i="1"/>
  <c r="AW276" i="1"/>
  <c r="BB283" i="1"/>
  <c r="BB290" i="1"/>
  <c r="AU311" i="1"/>
  <c r="BB315" i="1"/>
  <c r="BB320" i="1"/>
  <c r="BB323" i="1"/>
  <c r="BB363" i="1"/>
  <c r="AU365" i="1"/>
  <c r="BB367" i="1"/>
  <c r="AV371" i="1"/>
  <c r="BB382" i="1"/>
  <c r="BB391" i="1"/>
  <c r="BB404" i="1"/>
  <c r="AU407" i="1"/>
  <c r="AW421" i="1"/>
  <c r="AV440" i="1"/>
  <c r="BB456" i="1"/>
  <c r="AU459" i="1"/>
  <c r="BB470" i="1"/>
  <c r="BB473" i="1"/>
  <c r="AU476" i="1"/>
  <c r="AU491" i="1"/>
  <c r="AV494" i="1"/>
  <c r="BB495" i="1"/>
  <c r="AU497" i="1"/>
  <c r="BB503" i="1"/>
  <c r="AV507" i="1"/>
  <c r="AW526" i="1"/>
  <c r="AU533" i="1"/>
  <c r="BB5" i="1"/>
  <c r="BB41" i="1"/>
  <c r="BB53" i="1"/>
  <c r="BB60" i="1"/>
  <c r="BB111" i="1"/>
  <c r="BB119" i="1"/>
  <c r="BB150" i="1"/>
  <c r="BB156" i="1"/>
  <c r="AW160" i="1"/>
  <c r="AW178" i="1"/>
  <c r="AW186" i="1"/>
  <c r="BB193" i="1"/>
  <c r="AW210" i="1"/>
  <c r="AV223" i="1"/>
  <c r="BB224" i="1"/>
  <c r="AV227" i="1"/>
  <c r="AV231" i="1"/>
  <c r="BB232" i="1"/>
  <c r="AW236" i="1"/>
  <c r="AV241" i="1"/>
  <c r="AV328" i="1"/>
  <c r="AV331" i="1"/>
  <c r="AU337" i="1"/>
  <c r="BB371" i="1"/>
  <c r="AU380" i="1"/>
  <c r="AW386" i="1"/>
  <c r="BB440" i="1"/>
  <c r="BB445" i="1"/>
  <c r="AU451" i="1"/>
  <c r="BB452" i="1"/>
  <c r="AW462" i="1"/>
  <c r="AU468" i="1"/>
  <c r="AU475" i="1"/>
  <c r="BB491" i="1"/>
  <c r="BB500" i="1"/>
  <c r="AU505" i="1"/>
  <c r="AV510" i="1"/>
  <c r="AW521" i="1"/>
  <c r="BB522" i="1"/>
  <c r="AW525" i="1"/>
  <c r="AW529" i="1"/>
  <c r="AV532" i="1"/>
  <c r="BB540" i="1"/>
  <c r="BB34" i="1"/>
  <c r="BB40" i="1"/>
  <c r="BB66" i="1"/>
  <c r="BB80" i="1"/>
  <c r="AW82" i="1"/>
  <c r="BB99" i="1"/>
  <c r="AW102" i="1"/>
  <c r="BB128" i="1"/>
  <c r="AV139" i="1"/>
  <c r="AW142" i="1"/>
  <c r="AW223" i="1"/>
  <c r="AW227" i="1"/>
  <c r="AW231" i="1"/>
  <c r="AW241" i="1"/>
  <c r="BB260" i="1"/>
  <c r="BB267" i="1"/>
  <c r="AW328" i="1"/>
  <c r="AW331" i="1"/>
  <c r="AV337" i="1"/>
  <c r="AW361" i="1"/>
  <c r="BB362" i="1"/>
  <c r="BB369" i="1"/>
  <c r="AV385" i="1"/>
  <c r="AU400" i="1"/>
  <c r="AU418" i="1"/>
  <c r="AU427" i="1"/>
  <c r="BB438" i="1"/>
  <c r="AU447" i="1"/>
  <c r="AW451" i="1"/>
  <c r="AU461" i="1"/>
  <c r="AW468" i="1"/>
  <c r="AU489" i="1"/>
  <c r="AU499" i="1"/>
  <c r="AW505" i="1"/>
  <c r="BB506" i="1"/>
  <c r="BB532" i="1"/>
  <c r="AV539" i="1"/>
  <c r="AW120" i="1"/>
  <c r="AU125" i="1"/>
  <c r="BB127" i="1"/>
  <c r="AU137" i="1"/>
  <c r="AV137" i="1"/>
  <c r="AW159" i="1"/>
  <c r="AV159" i="1"/>
  <c r="AU159" i="1"/>
  <c r="AV168" i="1"/>
  <c r="AW168" i="1"/>
  <c r="AW263" i="1"/>
  <c r="AV263" i="1"/>
  <c r="AU263" i="1"/>
  <c r="AW279" i="1"/>
  <c r="AV279" i="1"/>
  <c r="AU279" i="1"/>
  <c r="BB85" i="1"/>
  <c r="AW100" i="1"/>
  <c r="AV110" i="1"/>
  <c r="AU111" i="1"/>
  <c r="AW111" i="1"/>
  <c r="BD147" i="1"/>
  <c r="AW5" i="1"/>
  <c r="AV9" i="1"/>
  <c r="BB11" i="1"/>
  <c r="BB13" i="1"/>
  <c r="AV16" i="1"/>
  <c r="BB17" i="1"/>
  <c r="AU27" i="1"/>
  <c r="AW47" i="1"/>
  <c r="BB48" i="1"/>
  <c r="BB49" i="1"/>
  <c r="BB56" i="1"/>
  <c r="BB88" i="1"/>
  <c r="AU91" i="1"/>
  <c r="AV91" i="1"/>
  <c r="BB92" i="1"/>
  <c r="AW110" i="1"/>
  <c r="AV111" i="1"/>
  <c r="AV125" i="1"/>
  <c r="AW176" i="1"/>
  <c r="AU176" i="1"/>
  <c r="AU304" i="1"/>
  <c r="AW304" i="1"/>
  <c r="AV304" i="1"/>
  <c r="BB45" i="1"/>
  <c r="AW91" i="1"/>
  <c r="AU94" i="1"/>
  <c r="AU132" i="1"/>
  <c r="AV141" i="1"/>
  <c r="AV152" i="1"/>
  <c r="AU152" i="1"/>
  <c r="AU240" i="1"/>
  <c r="AW240" i="1"/>
  <c r="AV240" i="1"/>
  <c r="AV253" i="1"/>
  <c r="AW253" i="1"/>
  <c r="AU253" i="1"/>
  <c r="AW274" i="1"/>
  <c r="AV274" i="1"/>
  <c r="AU274" i="1"/>
  <c r="AU369" i="1"/>
  <c r="AV369" i="1"/>
  <c r="AU249" i="1"/>
  <c r="AW249" i="1"/>
  <c r="AV249" i="1"/>
  <c r="AV375" i="1"/>
  <c r="AU375" i="1"/>
  <c r="AW375" i="1"/>
  <c r="BB78" i="1"/>
  <c r="BB20" i="1"/>
  <c r="BB24" i="1"/>
  <c r="AW27" i="1"/>
  <c r="AU37" i="1"/>
  <c r="BB38" i="1"/>
  <c r="BB42" i="1"/>
  <c r="AU51" i="1"/>
  <c r="AV52" i="1"/>
  <c r="AU79" i="1"/>
  <c r="AV79" i="1"/>
  <c r="AV90" i="1"/>
  <c r="AV104" i="1"/>
  <c r="AW104" i="1"/>
  <c r="AW132" i="1"/>
  <c r="AW140" i="1"/>
  <c r="AV140" i="1"/>
  <c r="AW344" i="1"/>
  <c r="AU344" i="1"/>
  <c r="AU128" i="1"/>
  <c r="BB136" i="1"/>
  <c r="AU140" i="1"/>
  <c r="AW255" i="1"/>
  <c r="AV255" i="1"/>
  <c r="AU255" i="1"/>
  <c r="AW314" i="1"/>
  <c r="AV314" i="1"/>
  <c r="AU314" i="1"/>
  <c r="AU5" i="1"/>
  <c r="BB6" i="1"/>
  <c r="AU9" i="1"/>
  <c r="BB21" i="1"/>
  <c r="AW54" i="1"/>
  <c r="AV30" i="1"/>
  <c r="BB31" i="1"/>
  <c r="AU34" i="1"/>
  <c r="AV35" i="1"/>
  <c r="BB63" i="1"/>
  <c r="AU66" i="1"/>
  <c r="AV67" i="1"/>
  <c r="AU78" i="1"/>
  <c r="AW89" i="1"/>
  <c r="AU264" i="1"/>
  <c r="AW264" i="1"/>
  <c r="AU351" i="1"/>
  <c r="AW351" i="1"/>
  <c r="AV351" i="1"/>
  <c r="AV254" i="1"/>
  <c r="AW254" i="1"/>
  <c r="AU254" i="1"/>
  <c r="BB71" i="1"/>
  <c r="AW16" i="1"/>
  <c r="BD148" i="1"/>
  <c r="BB4" i="1"/>
  <c r="AW122" i="1"/>
  <c r="AU122" i="1"/>
  <c r="AV187" i="1"/>
  <c r="AW187" i="1"/>
  <c r="AV12" i="1"/>
  <c r="AU13" i="1"/>
  <c r="BB14" i="1"/>
  <c r="BB18" i="1"/>
  <c r="AV34" i="1"/>
  <c r="AU49" i="1"/>
  <c r="BB51" i="1"/>
  <c r="BB52" i="1"/>
  <c r="AV56" i="1"/>
  <c r="BB57" i="1"/>
  <c r="AW65" i="1"/>
  <c r="AV66" i="1"/>
  <c r="AW78" i="1"/>
  <c r="BB79" i="1"/>
  <c r="BB86" i="1"/>
  <c r="AV102" i="1"/>
  <c r="BB131" i="1"/>
  <c r="AU182" i="1"/>
  <c r="AW182" i="1"/>
  <c r="AV182" i="1"/>
  <c r="AV269" i="1"/>
  <c r="AW269" i="1"/>
  <c r="AU269" i="1"/>
  <c r="AV444" i="1"/>
  <c r="AU444" i="1"/>
  <c r="AW444" i="1"/>
  <c r="BB58" i="1"/>
  <c r="BB59" i="1"/>
  <c r="BB64" i="1"/>
  <c r="BB83" i="1"/>
  <c r="BB87" i="1"/>
  <c r="BB98" i="1"/>
  <c r="BB105" i="1"/>
  <c r="BB112" i="1"/>
  <c r="BB121" i="1"/>
  <c r="BB162" i="1"/>
  <c r="BB184" i="1"/>
  <c r="BB196" i="1"/>
  <c r="AV295" i="1"/>
  <c r="AW295" i="1"/>
  <c r="AU295" i="1"/>
  <c r="AV308" i="1"/>
  <c r="AU308" i="1"/>
  <c r="BB332" i="1"/>
  <c r="AW346" i="1"/>
  <c r="AV346" i="1"/>
  <c r="BB352" i="1"/>
  <c r="AV374" i="1"/>
  <c r="AU374" i="1"/>
  <c r="BB376" i="1"/>
  <c r="BB432" i="1"/>
  <c r="AW465" i="1"/>
  <c r="AV465" i="1"/>
  <c r="BB474" i="1"/>
  <c r="BB223" i="1"/>
  <c r="BB236" i="1"/>
  <c r="AV239" i="1"/>
  <c r="AV250" i="1"/>
  <c r="BB266" i="1"/>
  <c r="BB270" i="1"/>
  <c r="AU275" i="1"/>
  <c r="AU302" i="1"/>
  <c r="AV303" i="1"/>
  <c r="AW307" i="1"/>
  <c r="AV307" i="1"/>
  <c r="AW308" i="1"/>
  <c r="AV313" i="1"/>
  <c r="AU315" i="1"/>
  <c r="BB318" i="1"/>
  <c r="BB319" i="1"/>
  <c r="AU326" i="1"/>
  <c r="AW326" i="1"/>
  <c r="AV343" i="1"/>
  <c r="AU346" i="1"/>
  <c r="AW354" i="1"/>
  <c r="AV354" i="1"/>
  <c r="AW374" i="1"/>
  <c r="AV382" i="1"/>
  <c r="AU382" i="1"/>
  <c r="AV406" i="1"/>
  <c r="AU406" i="1"/>
  <c r="AV412" i="1"/>
  <c r="AU412" i="1"/>
  <c r="AU465" i="1"/>
  <c r="BB499" i="1"/>
  <c r="AW239" i="1"/>
  <c r="BB240" i="1"/>
  <c r="AU247" i="1"/>
  <c r="BB251" i="1"/>
  <c r="AU258" i="1"/>
  <c r="AU259" i="1"/>
  <c r="BB264" i="1"/>
  <c r="AW278" i="1"/>
  <c r="BB280" i="1"/>
  <c r="AU283" i="1"/>
  <c r="AU286" i="1"/>
  <c r="BB287" i="1"/>
  <c r="BB295" i="1"/>
  <c r="AU300" i="1"/>
  <c r="AU301" i="1"/>
  <c r="AW302" i="1"/>
  <c r="AW303" i="1"/>
  <c r="BB304" i="1"/>
  <c r="AU307" i="1"/>
  <c r="AW313" i="1"/>
  <c r="AU316" i="1"/>
  <c r="AU321" i="1"/>
  <c r="AW321" i="1"/>
  <c r="AV321" i="1"/>
  <c r="AV326" i="1"/>
  <c r="AV339" i="1"/>
  <c r="AW339" i="1"/>
  <c r="AW343" i="1"/>
  <c r="BB358" i="1"/>
  <c r="AV363" i="1"/>
  <c r="AW363" i="1"/>
  <c r="AU381" i="1"/>
  <c r="AW387" i="1"/>
  <c r="AU387" i="1"/>
  <c r="AV393" i="1"/>
  <c r="AW405" i="1"/>
  <c r="AU405" i="1"/>
  <c r="AW406" i="1"/>
  <c r="AW412" i="1"/>
  <c r="BB413" i="1"/>
  <c r="AV416" i="1"/>
  <c r="AU416" i="1"/>
  <c r="AU436" i="1"/>
  <c r="AV436" i="1"/>
  <c r="AU472" i="1"/>
  <c r="AV156" i="1"/>
  <c r="BB157" i="1"/>
  <c r="AU193" i="1"/>
  <c r="AV198" i="1"/>
  <c r="BB207" i="1"/>
  <c r="AU219" i="1"/>
  <c r="AW290" i="1"/>
  <c r="AU290" i="1"/>
  <c r="AW306" i="1"/>
  <c r="AU306" i="1"/>
  <c r="AW353" i="1"/>
  <c r="AV353" i="1"/>
  <c r="AV381" i="1"/>
  <c r="AV396" i="1"/>
  <c r="AU396" i="1"/>
  <c r="AV471" i="1"/>
  <c r="AW471" i="1"/>
  <c r="AU154" i="1"/>
  <c r="AW155" i="1"/>
  <c r="AW156" i="1"/>
  <c r="AU170" i="1"/>
  <c r="BB190" i="1"/>
  <c r="AV193" i="1"/>
  <c r="AU196" i="1"/>
  <c r="AV197" i="1"/>
  <c r="AW198" i="1"/>
  <c r="BB199" i="1"/>
  <c r="AU205" i="1"/>
  <c r="AU213" i="1"/>
  <c r="AV219" i="1"/>
  <c r="AV220" i="1"/>
  <c r="AW225" i="1"/>
  <c r="AW228" i="1"/>
  <c r="AU229" i="1"/>
  <c r="BB231" i="1"/>
  <c r="BB248" i="1"/>
  <c r="BB253" i="1"/>
  <c r="BB254" i="1"/>
  <c r="AU260" i="1"/>
  <c r="AW272" i="1"/>
  <c r="BB278" i="1"/>
  <c r="BB279" i="1"/>
  <c r="AU285" i="1"/>
  <c r="AV290" i="1"/>
  <c r="AW293" i="1"/>
  <c r="AV297" i="1"/>
  <c r="AW349" i="1"/>
  <c r="BB350" i="1"/>
  <c r="AU353" i="1"/>
  <c r="AU361" i="1"/>
  <c r="AW362" i="1"/>
  <c r="AV362" i="1"/>
  <c r="BB368" i="1"/>
  <c r="AW372" i="1"/>
  <c r="AV372" i="1"/>
  <c r="AV377" i="1"/>
  <c r="AU378" i="1"/>
  <c r="AU391" i="1"/>
  <c r="AW395" i="1"/>
  <c r="AV395" i="1"/>
  <c r="AW396" i="1"/>
  <c r="AV404" i="1"/>
  <c r="AV415" i="1"/>
  <c r="AU415" i="1"/>
  <c r="AU428" i="1"/>
  <c r="AV428" i="1"/>
  <c r="AW428" i="1"/>
  <c r="AW445" i="1"/>
  <c r="AU445" i="1"/>
  <c r="AU471" i="1"/>
  <c r="BB476" i="1"/>
  <c r="BB93" i="1"/>
  <c r="BB94" i="1"/>
  <c r="BB106" i="1"/>
  <c r="AV154" i="1"/>
  <c r="BB160" i="1"/>
  <c r="BB163" i="1"/>
  <c r="AV170" i="1"/>
  <c r="AU185" i="1"/>
  <c r="AV192" i="1"/>
  <c r="AU194" i="1"/>
  <c r="AW196" i="1"/>
  <c r="AW197" i="1"/>
  <c r="AU201" i="1"/>
  <c r="AV205" i="1"/>
  <c r="AU209" i="1"/>
  <c r="AV213" i="1"/>
  <c r="BB214" i="1"/>
  <c r="AW220" i="1"/>
  <c r="AW229" i="1"/>
  <c r="AV260" i="1"/>
  <c r="AW297" i="1"/>
  <c r="AV376" i="1"/>
  <c r="AW376" i="1"/>
  <c r="AW377" i="1"/>
  <c r="AW378" i="1"/>
  <c r="AV391" i="1"/>
  <c r="BB396" i="1"/>
  <c r="AW404" i="1"/>
  <c r="AV435" i="1"/>
  <c r="AU435" i="1"/>
  <c r="AW435" i="1"/>
  <c r="AW438" i="1"/>
  <c r="AU438" i="1"/>
  <c r="AW448" i="1"/>
  <c r="AV448" i="1"/>
  <c r="AU448" i="1"/>
  <c r="AW153" i="1"/>
  <c r="AU162" i="1"/>
  <c r="AW169" i="1"/>
  <c r="BB171" i="1"/>
  <c r="BB180" i="1"/>
  <c r="AU184" i="1"/>
  <c r="BB189" i="1"/>
  <c r="BB192" i="1"/>
  <c r="BB206" i="1"/>
  <c r="AU233" i="1"/>
  <c r="AV236" i="1"/>
  <c r="BB246" i="1"/>
  <c r="BB257" i="1"/>
  <c r="BB259" i="1"/>
  <c r="AV265" i="1"/>
  <c r="AV281" i="1"/>
  <c r="BB282" i="1"/>
  <c r="AV288" i="1"/>
  <c r="AW289" i="1"/>
  <c r="AW323" i="1"/>
  <c r="AV323" i="1"/>
  <c r="AW332" i="1"/>
  <c r="BB333" i="1"/>
  <c r="BB349" i="1"/>
  <c r="AU359" i="1"/>
  <c r="AW359" i="1"/>
  <c r="AV390" i="1"/>
  <c r="AU390" i="1"/>
  <c r="AV398" i="1"/>
  <c r="AU398" i="1"/>
  <c r="AV408" i="1"/>
  <c r="AW408" i="1"/>
  <c r="AV455" i="1"/>
  <c r="AU455" i="1"/>
  <c r="AW434" i="1"/>
  <c r="AV469" i="1"/>
  <c r="AV482" i="1"/>
  <c r="BB534" i="1"/>
  <c r="BB301" i="1"/>
  <c r="BB303" i="1"/>
  <c r="BB317" i="1"/>
  <c r="BB336" i="1"/>
  <c r="BB340" i="1"/>
  <c r="BB375" i="1"/>
  <c r="BB377" i="1"/>
  <c r="BB400" i="1"/>
  <c r="BB407" i="1"/>
  <c r="AW414" i="1"/>
  <c r="BB417" i="1"/>
  <c r="BB428" i="1"/>
  <c r="BB434" i="1"/>
  <c r="BB435" i="1"/>
  <c r="BB441" i="1"/>
  <c r="BB444" i="1"/>
  <c r="AW447" i="1"/>
  <c r="AV449" i="1"/>
  <c r="AV457" i="1"/>
  <c r="BB459" i="1"/>
  <c r="AV476" i="1"/>
  <c r="BB486" i="1"/>
  <c r="AV489" i="1"/>
  <c r="AV491" i="1"/>
  <c r="BB504" i="1"/>
  <c r="AU518" i="1"/>
  <c r="AU523" i="1"/>
  <c r="BB529" i="1"/>
  <c r="AW536" i="1"/>
  <c r="BB296" i="1"/>
  <c r="BB310" i="1"/>
  <c r="AV322" i="1"/>
  <c r="AU324" i="1"/>
  <c r="BB342" i="1"/>
  <c r="BB347" i="1"/>
  <c r="AU355" i="1"/>
  <c r="BB356" i="1"/>
  <c r="BB359" i="1"/>
  <c r="BB360" i="1"/>
  <c r="BB373" i="1"/>
  <c r="BB374" i="1"/>
  <c r="BB381" i="1"/>
  <c r="AU386" i="1"/>
  <c r="AU394" i="1"/>
  <c r="BB397" i="1"/>
  <c r="AU402" i="1"/>
  <c r="AU413" i="1"/>
  <c r="AU421" i="1"/>
  <c r="BB431" i="1"/>
  <c r="BB439" i="1"/>
  <c r="BB451" i="1"/>
  <c r="AV454" i="1"/>
  <c r="AV456" i="1"/>
  <c r="AV462" i="1"/>
  <c r="BB468" i="1"/>
  <c r="AU474" i="1"/>
  <c r="AU517" i="1"/>
  <c r="AV518" i="1"/>
  <c r="BB519" i="1"/>
  <c r="AV523" i="1"/>
  <c r="AU540" i="1"/>
  <c r="BB496" i="1"/>
  <c r="AV502" i="1"/>
  <c r="AU509" i="1"/>
  <c r="AW510" i="1"/>
  <c r="BB511" i="1"/>
  <c r="AU515" i="1"/>
  <c r="AW517" i="1"/>
  <c r="AV521" i="1"/>
  <c r="AU525" i="1"/>
  <c r="AU526" i="1"/>
  <c r="BB527" i="1"/>
  <c r="AU531" i="1"/>
  <c r="BB536" i="1"/>
  <c r="AV540" i="1"/>
  <c r="AU501" i="1"/>
  <c r="AW502" i="1"/>
  <c r="AW509" i="1"/>
  <c r="AV531" i="1"/>
  <c r="AU532" i="1"/>
  <c r="BB518" i="1"/>
  <c r="BB366" i="1"/>
  <c r="BB393" i="1"/>
  <c r="BB401" i="1"/>
  <c r="BB419" i="1"/>
  <c r="BB420" i="1"/>
  <c r="BB429" i="1"/>
  <c r="AU434" i="1"/>
  <c r="BB455" i="1"/>
  <c r="BB462" i="1"/>
  <c r="BB466" i="1"/>
  <c r="AW470" i="1"/>
  <c r="BB472" i="1"/>
  <c r="AU482" i="1"/>
  <c r="AU493" i="1"/>
  <c r="BB494" i="1"/>
  <c r="AV498" i="1"/>
  <c r="BB501" i="1"/>
  <c r="BB502" i="1"/>
  <c r="BB510" i="1"/>
  <c r="BB516" i="1"/>
  <c r="BB521" i="1"/>
  <c r="BB526" i="1"/>
  <c r="AV529" i="1"/>
  <c r="AW533" i="1"/>
  <c r="AW534" i="1"/>
  <c r="BB539" i="1"/>
  <c r="AW85" i="1"/>
  <c r="AV85" i="1"/>
  <c r="AU85" i="1"/>
  <c r="AU98" i="1"/>
  <c r="AV105" i="1"/>
  <c r="AU112" i="1"/>
  <c r="AV134" i="1"/>
  <c r="AW134" i="1"/>
  <c r="BB235" i="1"/>
  <c r="AV39" i="1"/>
  <c r="AU39" i="1"/>
  <c r="AW39" i="1"/>
  <c r="AW81" i="1"/>
  <c r="AU81" i="1"/>
  <c r="AV81" i="1"/>
  <c r="AV84" i="1"/>
  <c r="AV87" i="1"/>
  <c r="AW147" i="1"/>
  <c r="AW92" i="1"/>
  <c r="AV92" i="1"/>
  <c r="AU92" i="1"/>
  <c r="AW138" i="1"/>
  <c r="AV138" i="1"/>
  <c r="AW504" i="1"/>
  <c r="AV504" i="1"/>
  <c r="AU504" i="1"/>
  <c r="AU32" i="1"/>
  <c r="AW32" i="1"/>
  <c r="AV32" i="1"/>
  <c r="AU42" i="1"/>
  <c r="AV46" i="1"/>
  <c r="AW46" i="1"/>
  <c r="AU46" i="1"/>
  <c r="AV25" i="1"/>
  <c r="AW25" i="1"/>
  <c r="AU25" i="1"/>
  <c r="AU38" i="1"/>
  <c r="AW112" i="1"/>
  <c r="AW18" i="1"/>
  <c r="AV18" i="1"/>
  <c r="AU18" i="1"/>
  <c r="AU31" i="1"/>
  <c r="AU45" i="1"/>
  <c r="AW200" i="1"/>
  <c r="AU200" i="1"/>
  <c r="AV200" i="1"/>
  <c r="AU64" i="1"/>
  <c r="AW64" i="1"/>
  <c r="AV64" i="1"/>
  <c r="AU20" i="1"/>
  <c r="AW24" i="1"/>
  <c r="AV57" i="1"/>
  <c r="AW57" i="1"/>
  <c r="AU57" i="1"/>
  <c r="AU70" i="1"/>
  <c r="AW87" i="1"/>
  <c r="AU129" i="1"/>
  <c r="AV129" i="1"/>
  <c r="AW129" i="1"/>
  <c r="AV88" i="1"/>
  <c r="AW88" i="1"/>
  <c r="AU88" i="1"/>
  <c r="AV98" i="1"/>
  <c r="BB113" i="1"/>
  <c r="AW130" i="1"/>
  <c r="AV130" i="1"/>
  <c r="AU130" i="1"/>
  <c r="AU148" i="1"/>
  <c r="AW148" i="1"/>
  <c r="AW4" i="1"/>
  <c r="AU4" i="1"/>
  <c r="AV4" i="1"/>
  <c r="AU84" i="1"/>
  <c r="AW123" i="1"/>
  <c r="AV123" i="1"/>
  <c r="AV7" i="1"/>
  <c r="AW7" i="1"/>
  <c r="AV21" i="1"/>
  <c r="AW21" i="1"/>
  <c r="AU21" i="1"/>
  <c r="AU6" i="1"/>
  <c r="AU7" i="1"/>
  <c r="AU17" i="1"/>
  <c r="AV6" i="1"/>
  <c r="AU10" i="1"/>
  <c r="AV14" i="1"/>
  <c r="AU14" i="1"/>
  <c r="AW14" i="1"/>
  <c r="AV17" i="1"/>
  <c r="AV20" i="1"/>
  <c r="AW50" i="1"/>
  <c r="AV50" i="1"/>
  <c r="AU50" i="1"/>
  <c r="AU63" i="1"/>
  <c r="AV70" i="1"/>
  <c r="AU80" i="1"/>
  <c r="AW106" i="1"/>
  <c r="AV106" i="1"/>
  <c r="AU106" i="1"/>
  <c r="AV122" i="1"/>
  <c r="AU126" i="1"/>
  <c r="AW127" i="1"/>
  <c r="AV127" i="1"/>
  <c r="AW189" i="1"/>
  <c r="AU189" i="1"/>
  <c r="AV189" i="1"/>
  <c r="AV492" i="1"/>
  <c r="AU492" i="1"/>
  <c r="AW492" i="1"/>
  <c r="AW28" i="1"/>
  <c r="AV28" i="1"/>
  <c r="AU28" i="1"/>
  <c r="AV42" i="1"/>
  <c r="AU214" i="1"/>
  <c r="AW214" i="1"/>
  <c r="AV214" i="1"/>
  <c r="AV38" i="1"/>
  <c r="AV71" i="1"/>
  <c r="AU71" i="1"/>
  <c r="AW71" i="1"/>
  <c r="AV147" i="1"/>
  <c r="AV24" i="1"/>
  <c r="AV31" i="1"/>
  <c r="AW45" i="1"/>
  <c r="BB46" i="1"/>
  <c r="AW60" i="1"/>
  <c r="AV60" i="1"/>
  <c r="AV10" i="1"/>
  <c r="AV53" i="1"/>
  <c r="AW53" i="1"/>
  <c r="AU53" i="1"/>
  <c r="AV63" i="1"/>
  <c r="AW80" i="1"/>
  <c r="BB81" i="1"/>
  <c r="AW95" i="1"/>
  <c r="AV95" i="1"/>
  <c r="AU99" i="1"/>
  <c r="AW99" i="1"/>
  <c r="AV99" i="1"/>
  <c r="AW113" i="1"/>
  <c r="AV113" i="1"/>
  <c r="AU113" i="1"/>
  <c r="AW126" i="1"/>
  <c r="AU141" i="1"/>
  <c r="AU163" i="1"/>
  <c r="AW163" i="1"/>
  <c r="AV163" i="1"/>
  <c r="AV180" i="1"/>
  <c r="AW180" i="1"/>
  <c r="AU180" i="1"/>
  <c r="AV188" i="1"/>
  <c r="AW188" i="1"/>
  <c r="AV207" i="1"/>
  <c r="AU207" i="1"/>
  <c r="AW207" i="1"/>
  <c r="AV245" i="1"/>
  <c r="AW245" i="1"/>
  <c r="AU245" i="1"/>
  <c r="AV310" i="1"/>
  <c r="AU310" i="1"/>
  <c r="AW310" i="1"/>
  <c r="AV485" i="1"/>
  <c r="AW485" i="1"/>
  <c r="AU485" i="1"/>
  <c r="BB22" i="1"/>
  <c r="BB54" i="1"/>
  <c r="BB89" i="1"/>
  <c r="AW131" i="1"/>
  <c r="AV131" i="1"/>
  <c r="BB154" i="1"/>
  <c r="BB165" i="1"/>
  <c r="AV179" i="1"/>
  <c r="AU179" i="1"/>
  <c r="BB182" i="1"/>
  <c r="AU199" i="1"/>
  <c r="AW199" i="1"/>
  <c r="AU206" i="1"/>
  <c r="AW206" i="1"/>
  <c r="AU305" i="1"/>
  <c r="AV305" i="1"/>
  <c r="AW305" i="1"/>
  <c r="AU131" i="1"/>
  <c r="BB135" i="1"/>
  <c r="AW157" i="1"/>
  <c r="AV157" i="1"/>
  <c r="AU172" i="1"/>
  <c r="AV172" i="1"/>
  <c r="AU191" i="1"/>
  <c r="AW191" i="1"/>
  <c r="AV191" i="1"/>
  <c r="AV195" i="1"/>
  <c r="AW195" i="1"/>
  <c r="AU195" i="1"/>
  <c r="AW218" i="1"/>
  <c r="AU218" i="1"/>
  <c r="AU103" i="1"/>
  <c r="AV8" i="1"/>
  <c r="AU15" i="1"/>
  <c r="AU22" i="1"/>
  <c r="AU26" i="1"/>
  <c r="AU29" i="1"/>
  <c r="BB30" i="1"/>
  <c r="AU33" i="1"/>
  <c r="AV36" i="1"/>
  <c r="AV40" i="1"/>
  <c r="AU47" i="1"/>
  <c r="AU54" i="1"/>
  <c r="AU58" i="1"/>
  <c r="AU61" i="1"/>
  <c r="BB62" i="1"/>
  <c r="AU65" i="1"/>
  <c r="AV68" i="1"/>
  <c r="AV72" i="1"/>
  <c r="AU157" i="1"/>
  <c r="AV161" i="1"/>
  <c r="AU161" i="1"/>
  <c r="AW172" i="1"/>
  <c r="AV218" i="1"/>
  <c r="AW224" i="1"/>
  <c r="AU224" i="1"/>
  <c r="AV224" i="1"/>
  <c r="BB230" i="1"/>
  <c r="AU36" i="1"/>
  <c r="AU68" i="1"/>
  <c r="AU82" i="1"/>
  <c r="AU89" i="1"/>
  <c r="AU93" i="1"/>
  <c r="AU96" i="1"/>
  <c r="BB97" i="1"/>
  <c r="AU100" i="1"/>
  <c r="AV103" i="1"/>
  <c r="AV107" i="1"/>
  <c r="AU119" i="1"/>
  <c r="AW8" i="1"/>
  <c r="AV26" i="1"/>
  <c r="AW29" i="1"/>
  <c r="AW40" i="1"/>
  <c r="AV58" i="1"/>
  <c r="AW61" i="1"/>
  <c r="AW72" i="1"/>
  <c r="AV93" i="1"/>
  <c r="AW96" i="1"/>
  <c r="AW107" i="1"/>
  <c r="AU120" i="1"/>
  <c r="AW149" i="1"/>
  <c r="AV149" i="1"/>
  <c r="AU149" i="1"/>
  <c r="AW161" i="1"/>
  <c r="AU171" i="1"/>
  <c r="AW171" i="1"/>
  <c r="AW208" i="1"/>
  <c r="AU208" i="1"/>
  <c r="AV246" i="1"/>
  <c r="AU246" i="1"/>
  <c r="AW246" i="1"/>
  <c r="AV261" i="1"/>
  <c r="AU261" i="1"/>
  <c r="AW261" i="1"/>
  <c r="BB153" i="1"/>
  <c r="BB181" i="1"/>
  <c r="AW238" i="1"/>
  <c r="AV238" i="1"/>
  <c r="AU238" i="1"/>
  <c r="AU248" i="1"/>
  <c r="AW248" i="1"/>
  <c r="AV248" i="1"/>
  <c r="AU257" i="1"/>
  <c r="AV257" i="1"/>
  <c r="AV262" i="1"/>
  <c r="AW262" i="1"/>
  <c r="AU262" i="1"/>
  <c r="AW271" i="1"/>
  <c r="AU271" i="1"/>
  <c r="BB273" i="1"/>
  <c r="AV277" i="1"/>
  <c r="AW277" i="1"/>
  <c r="AU277" i="1"/>
  <c r="AU296" i="1"/>
  <c r="AV296" i="1"/>
  <c r="BB298" i="1"/>
  <c r="AV309" i="1"/>
  <c r="AU309" i="1"/>
  <c r="AV317" i="1"/>
  <c r="AW317" i="1"/>
  <c r="AU317" i="1"/>
  <c r="AW342" i="1"/>
  <c r="AU342" i="1"/>
  <c r="AV342" i="1"/>
  <c r="AU401" i="1"/>
  <c r="AV401" i="1"/>
  <c r="AW401" i="1"/>
  <c r="AW336" i="1"/>
  <c r="AU336" i="1"/>
  <c r="AV347" i="1"/>
  <c r="AU347" i="1"/>
  <c r="AV503" i="1"/>
  <c r="AU503" i="1"/>
  <c r="AW503" i="1"/>
  <c r="AW527" i="1"/>
  <c r="AV527" i="1"/>
  <c r="AU527" i="1"/>
  <c r="AW152" i="1"/>
  <c r="AV162" i="1"/>
  <c r="BB169" i="1"/>
  <c r="AV176" i="1"/>
  <c r="AW190" i="1"/>
  <c r="BB197" i="1"/>
  <c r="BB204" i="1"/>
  <c r="BB212" i="1"/>
  <c r="AW222" i="1"/>
  <c r="AV222" i="1"/>
  <c r="AU222" i="1"/>
  <c r="AW237" i="1"/>
  <c r="BB241" i="1"/>
  <c r="AU256" i="1"/>
  <c r="AW256" i="1"/>
  <c r="BB262" i="1"/>
  <c r="BB305" i="1"/>
  <c r="AV336" i="1"/>
  <c r="AW341" i="1"/>
  <c r="AU341" i="1"/>
  <c r="AW347" i="1"/>
  <c r="AW358" i="1"/>
  <c r="AU358" i="1"/>
  <c r="AV358" i="1"/>
  <c r="AU139" i="1"/>
  <c r="AU142" i="1"/>
  <c r="BB143" i="1"/>
  <c r="AU153" i="1"/>
  <c r="AV164" i="1"/>
  <c r="AU168" i="1"/>
  <c r="BB170" i="1"/>
  <c r="AU181" i="1"/>
  <c r="AU192" i="1"/>
  <c r="BB205" i="1"/>
  <c r="BB213" i="1"/>
  <c r="AU221" i="1"/>
  <c r="AU226" i="1"/>
  <c r="BB239" i="1"/>
  <c r="AV256" i="1"/>
  <c r="AV294" i="1"/>
  <c r="AU294" i="1"/>
  <c r="AV340" i="1"/>
  <c r="AU340" i="1"/>
  <c r="AW340" i="1"/>
  <c r="AV341" i="1"/>
  <c r="AW429" i="1"/>
  <c r="AU429" i="1"/>
  <c r="AV429" i="1"/>
  <c r="AW232" i="1"/>
  <c r="AU232" i="1"/>
  <c r="AW282" i="1"/>
  <c r="AU282" i="1"/>
  <c r="AW357" i="1"/>
  <c r="AU357" i="1"/>
  <c r="AV155" i="1"/>
  <c r="AU169" i="1"/>
  <c r="AV183" i="1"/>
  <c r="AU187" i="1"/>
  <c r="AU203" i="1"/>
  <c r="AW204" i="1"/>
  <c r="AV204" i="1"/>
  <c r="AU211" i="1"/>
  <c r="AW212" i="1"/>
  <c r="AV212" i="1"/>
  <c r="AW230" i="1"/>
  <c r="AV230" i="1"/>
  <c r="AU230" i="1"/>
  <c r="AV232" i="1"/>
  <c r="AW242" i="1"/>
  <c r="AV242" i="1"/>
  <c r="AU280" i="1"/>
  <c r="AV280" i="1"/>
  <c r="AV282" i="1"/>
  <c r="AW287" i="1"/>
  <c r="AV287" i="1"/>
  <c r="AU287" i="1"/>
  <c r="BB289" i="1"/>
  <c r="AW352" i="1"/>
  <c r="AU352" i="1"/>
  <c r="AV357" i="1"/>
  <c r="BB222" i="1"/>
  <c r="AW266" i="1"/>
  <c r="AU266" i="1"/>
  <c r="AU273" i="1"/>
  <c r="AW273" i="1"/>
  <c r="AV273" i="1"/>
  <c r="AW298" i="1"/>
  <c r="AV298" i="1"/>
  <c r="AU298" i="1"/>
  <c r="AW312" i="1"/>
  <c r="AU312" i="1"/>
  <c r="AV312" i="1"/>
  <c r="AV356" i="1"/>
  <c r="AU356" i="1"/>
  <c r="AW356" i="1"/>
  <c r="AU446" i="1"/>
  <c r="AW446" i="1"/>
  <c r="AV446" i="1"/>
  <c r="AW463" i="1"/>
  <c r="AV463" i="1"/>
  <c r="AU463" i="1"/>
  <c r="AV348" i="1"/>
  <c r="AU348" i="1"/>
  <c r="AW350" i="1"/>
  <c r="AU350" i="1"/>
  <c r="BB370" i="1"/>
  <c r="AV422" i="1"/>
  <c r="AU422" i="1"/>
  <c r="AW450" i="1"/>
  <c r="AU450" i="1"/>
  <c r="AV450" i="1"/>
  <c r="AW452" i="1"/>
  <c r="AU452" i="1"/>
  <c r="AW488" i="1"/>
  <c r="AU488" i="1"/>
  <c r="AV488" i="1"/>
  <c r="BB238" i="1"/>
  <c r="BB263" i="1"/>
  <c r="AW270" i="1"/>
  <c r="AW281" i="1"/>
  <c r="AW285" i="1"/>
  <c r="BB302" i="1"/>
  <c r="AV306" i="1"/>
  <c r="BB325" i="1"/>
  <c r="BB326" i="1"/>
  <c r="AV344" i="1"/>
  <c r="AW355" i="1"/>
  <c r="BB364" i="1"/>
  <c r="BB365" i="1"/>
  <c r="BB378" i="1"/>
  <c r="AU417" i="1"/>
  <c r="AV417" i="1"/>
  <c r="AV460" i="1"/>
  <c r="AU460" i="1"/>
  <c r="AV467" i="1"/>
  <c r="AW467" i="1"/>
  <c r="AU467" i="1"/>
  <c r="AW397" i="1"/>
  <c r="AU397" i="1"/>
  <c r="AW466" i="1"/>
  <c r="AU466" i="1"/>
  <c r="AU487" i="1"/>
  <c r="AW487" i="1"/>
  <c r="AV487" i="1"/>
  <c r="AV318" i="1"/>
  <c r="AU318" i="1"/>
  <c r="AW320" i="1"/>
  <c r="AU320" i="1"/>
  <c r="BB341" i="1"/>
  <c r="AV397" i="1"/>
  <c r="AW411" i="1"/>
  <c r="AU411" i="1"/>
  <c r="AV411" i="1"/>
  <c r="BB448" i="1"/>
  <c r="AW464" i="1"/>
  <c r="AV464" i="1"/>
  <c r="AU464" i="1"/>
  <c r="AV466" i="1"/>
  <c r="BB255" i="1"/>
  <c r="BB294" i="1"/>
  <c r="AV325" i="1"/>
  <c r="AU325" i="1"/>
  <c r="AW327" i="1"/>
  <c r="AU327" i="1"/>
  <c r="BB348" i="1"/>
  <c r="AW366" i="1"/>
  <c r="AU366" i="1"/>
  <c r="AW368" i="1"/>
  <c r="AU368" i="1"/>
  <c r="AW373" i="1"/>
  <c r="AV373" i="1"/>
  <c r="AU373" i="1"/>
  <c r="AW430" i="1"/>
  <c r="AV430" i="1"/>
  <c r="AU430" i="1"/>
  <c r="AV437" i="1"/>
  <c r="AW437" i="1"/>
  <c r="AU437" i="1"/>
  <c r="AU458" i="1"/>
  <c r="AV458" i="1"/>
  <c r="BB469" i="1"/>
  <c r="AU250" i="1"/>
  <c r="AV264" i="1"/>
  <c r="AU278" i="1"/>
  <c r="AV289" i="1"/>
  <c r="AU293" i="1"/>
  <c r="AU322" i="1"/>
  <c r="AW325" i="1"/>
  <c r="AV327" i="1"/>
  <c r="AU332" i="1"/>
  <c r="AV333" i="1"/>
  <c r="AU333" i="1"/>
  <c r="AW335" i="1"/>
  <c r="AU335" i="1"/>
  <c r="BB357" i="1"/>
  <c r="AW364" i="1"/>
  <c r="AV364" i="1"/>
  <c r="AU364" i="1"/>
  <c r="AW389" i="1"/>
  <c r="AU389" i="1"/>
  <c r="AW403" i="1"/>
  <c r="AU403" i="1"/>
  <c r="AV403" i="1"/>
  <c r="AV433" i="1"/>
  <c r="AW433" i="1"/>
  <c r="AU433" i="1"/>
  <c r="AV453" i="1"/>
  <c r="AU453" i="1"/>
  <c r="AW484" i="1"/>
  <c r="AU484" i="1"/>
  <c r="AV379" i="1"/>
  <c r="AW382" i="1"/>
  <c r="AW393" i="1"/>
  <c r="AW400" i="1"/>
  <c r="AW416" i="1"/>
  <c r="AW459" i="1"/>
  <c r="AV474" i="1"/>
  <c r="BB485" i="1"/>
  <c r="AW512" i="1"/>
  <c r="AV512" i="1"/>
  <c r="AU512" i="1"/>
  <c r="AW516" i="1"/>
  <c r="AV516" i="1"/>
  <c r="BB528" i="1"/>
  <c r="AW535" i="1"/>
  <c r="AV535" i="1"/>
  <c r="AU535" i="1"/>
  <c r="AW369" i="1"/>
  <c r="AV387" i="1"/>
  <c r="AW390" i="1"/>
  <c r="AV394" i="1"/>
  <c r="AV402" i="1"/>
  <c r="AV407" i="1"/>
  <c r="AV413" i="1"/>
  <c r="AV418" i="1"/>
  <c r="BB422" i="1"/>
  <c r="AW436" i="1"/>
  <c r="AV445" i="1"/>
  <c r="AV511" i="1"/>
  <c r="AU511" i="1"/>
  <c r="AU456" i="1"/>
  <c r="AV470" i="1"/>
  <c r="BB482" i="1"/>
  <c r="AU486" i="1"/>
  <c r="AW486" i="1"/>
  <c r="AV486" i="1"/>
  <c r="AW511" i="1"/>
  <c r="BB512" i="1"/>
  <c r="BB513" i="1"/>
  <c r="AW508" i="1"/>
  <c r="AV508" i="1"/>
  <c r="AW496" i="1"/>
  <c r="AU496" i="1"/>
  <c r="AW500" i="1"/>
  <c r="AV500" i="1"/>
  <c r="BB520" i="1"/>
  <c r="AV438" i="1"/>
  <c r="AW441" i="1"/>
  <c r="AW454" i="1"/>
  <c r="AV472" i="1"/>
  <c r="AW475" i="1"/>
  <c r="AW493" i="1"/>
  <c r="AW494" i="1"/>
  <c r="AW495" i="1"/>
  <c r="AW519" i="1"/>
  <c r="AV519" i="1"/>
  <c r="AU519" i="1"/>
  <c r="BB497" i="1"/>
  <c r="AU498" i="1"/>
  <c r="AU506" i="1"/>
  <c r="AU514" i="1"/>
  <c r="AU522" i="1"/>
  <c r="AU530" i="1"/>
  <c r="AU538" i="1"/>
  <c r="AV530" i="1"/>
  <c r="AV538" i="1"/>
  <c r="AU520" i="1"/>
  <c r="AU536" i="1"/>
  <c r="AV520" i="1"/>
  <c r="AU539" i="1"/>
  <c r="U150" i="1"/>
  <c r="S206" i="1"/>
  <c r="S110" i="1"/>
  <c r="S109" i="1"/>
  <c r="S68" i="1"/>
  <c r="S537" i="1"/>
  <c r="S234" i="1"/>
  <c r="S66" i="1"/>
  <c r="AX324" i="1" l="1"/>
  <c r="BA324" i="1" s="1"/>
  <c r="AX424" i="1"/>
  <c r="BA424" i="1" s="1"/>
  <c r="AX421" i="1"/>
  <c r="BA421" i="1" s="1"/>
  <c r="AX514" i="1"/>
  <c r="BA514" i="1" s="1"/>
  <c r="AX215" i="1"/>
  <c r="BA215" i="1" s="1"/>
  <c r="AX216" i="1"/>
  <c r="BA216" i="1" s="1"/>
  <c r="AX217" i="1"/>
  <c r="BA217" i="1" s="1"/>
  <c r="AX173" i="1"/>
  <c r="BA173" i="1" s="1"/>
  <c r="AX423" i="1"/>
  <c r="BA423" i="1" s="1"/>
  <c r="AX145" i="1"/>
  <c r="BA145" i="1" s="1"/>
  <c r="AX52" i="1"/>
  <c r="BA52" i="1" s="1"/>
  <c r="AX183" i="1"/>
  <c r="BA183" i="1" s="1"/>
  <c r="AX499" i="1"/>
  <c r="BA499" i="1" s="1"/>
  <c r="AX158" i="1"/>
  <c r="BA158" i="1" s="1"/>
  <c r="AX146" i="1"/>
  <c r="BA146" i="1" s="1"/>
  <c r="AX365" i="1"/>
  <c r="BA365" i="1" s="1"/>
  <c r="AX244" i="1"/>
  <c r="BA244" i="1" s="1"/>
  <c r="AX74" i="1"/>
  <c r="BA74" i="1" s="1"/>
  <c r="AX144" i="1"/>
  <c r="BA144" i="1" s="1"/>
  <c r="AX392" i="1"/>
  <c r="BA392" i="1" s="1"/>
  <c r="AX233" i="1"/>
  <c r="BA233" i="1" s="1"/>
  <c r="AX22" i="1"/>
  <c r="BA22" i="1" s="1"/>
  <c r="AX491" i="1"/>
  <c r="BA491" i="1" s="1"/>
  <c r="AX338" i="1"/>
  <c r="BA338" i="1" s="1"/>
  <c r="AX90" i="1"/>
  <c r="BA90" i="1" s="1"/>
  <c r="AX69" i="1"/>
  <c r="BA69" i="1" s="1"/>
  <c r="AX202" i="1"/>
  <c r="BA202" i="1" s="1"/>
  <c r="AX315" i="1"/>
  <c r="BA315" i="1" s="1"/>
  <c r="AX12" i="1"/>
  <c r="BA12" i="1" s="1"/>
  <c r="AX237" i="1"/>
  <c r="BA237" i="1" s="1"/>
  <c r="AX495" i="1"/>
  <c r="BA495" i="1" s="1"/>
  <c r="AX301" i="1"/>
  <c r="BA301" i="1" s="1"/>
  <c r="AX385" i="1"/>
  <c r="BA385" i="1" s="1"/>
  <c r="AX288" i="1"/>
  <c r="BA288" i="1" s="1"/>
  <c r="AX228" i="1"/>
  <c r="BA228" i="1" s="1"/>
  <c r="AX536" i="1"/>
  <c r="BA536" i="1" s="1"/>
  <c r="AX476" i="1"/>
  <c r="BA476" i="1" s="1"/>
  <c r="AX275" i="1"/>
  <c r="BA275" i="1" s="1"/>
  <c r="AX54" i="1"/>
  <c r="BA54" i="1" s="1"/>
  <c r="AX482" i="1"/>
  <c r="BA482" i="1" s="1"/>
  <c r="AX198" i="1"/>
  <c r="BA198" i="1" s="1"/>
  <c r="AX56" i="1"/>
  <c r="BA56" i="1" s="1"/>
  <c r="AX529" i="1"/>
  <c r="BA529" i="1" s="1"/>
  <c r="AX441" i="1"/>
  <c r="BA441" i="1" s="1"/>
  <c r="AX427" i="1"/>
  <c r="BA427" i="1" s="1"/>
  <c r="AX143" i="1"/>
  <c r="BA143" i="1" s="1"/>
  <c r="AX73" i="1"/>
  <c r="BA73" i="1" s="1"/>
  <c r="AX194" i="1"/>
  <c r="BA194" i="1" s="1"/>
  <c r="AX102" i="1"/>
  <c r="BA102" i="1" s="1"/>
  <c r="AX420" i="1"/>
  <c r="BA420" i="1" s="1"/>
  <c r="AX311" i="1"/>
  <c r="BA311" i="1" s="1"/>
  <c r="AX456" i="1"/>
  <c r="BA456" i="1" s="1"/>
  <c r="AX510" i="1"/>
  <c r="BA510" i="1" s="1"/>
  <c r="AX349" i="1"/>
  <c r="BA349" i="1" s="1"/>
  <c r="AX483" i="1"/>
  <c r="BA483" i="1" s="1"/>
  <c r="AX528" i="1"/>
  <c r="BA528" i="1" s="1"/>
  <c r="AX431" i="1"/>
  <c r="BA431" i="1" s="1"/>
  <c r="AX513" i="1"/>
  <c r="BA513" i="1" s="1"/>
  <c r="AX537" i="1"/>
  <c r="BA537" i="1" s="1"/>
  <c r="AX128" i="1"/>
  <c r="BA128" i="1" s="1"/>
  <c r="AX44" i="1"/>
  <c r="BA44" i="1" s="1"/>
  <c r="AX319" i="1"/>
  <c r="BA319" i="1" s="1"/>
  <c r="AX251" i="1"/>
  <c r="BA251" i="1" s="1"/>
  <c r="AX48" i="1"/>
  <c r="BA48" i="1" s="1"/>
  <c r="AX243" i="1"/>
  <c r="BA243" i="1" s="1"/>
  <c r="AX461" i="1"/>
  <c r="BA461" i="1" s="1"/>
  <c r="AX167" i="1"/>
  <c r="BA167" i="1" s="1"/>
  <c r="AX396" i="1"/>
  <c r="BA396" i="1" s="1"/>
  <c r="AX136" i="1"/>
  <c r="BA136" i="1" s="1"/>
  <c r="AX82" i="1"/>
  <c r="BA82" i="1" s="1"/>
  <c r="AX210" i="1"/>
  <c r="BA210" i="1" s="1"/>
  <c r="AX445" i="1"/>
  <c r="BA445" i="1" s="1"/>
  <c r="AX457" i="1"/>
  <c r="BA457" i="1" s="1"/>
  <c r="AX334" i="1"/>
  <c r="BA334" i="1" s="1"/>
  <c r="AX299" i="1"/>
  <c r="BA299" i="1" s="1"/>
  <c r="AX55" i="1"/>
  <c r="BA55" i="1" s="1"/>
  <c r="AX435" i="1"/>
  <c r="BA435" i="1" s="1"/>
  <c r="AX376" i="1"/>
  <c r="BA376" i="1" s="1"/>
  <c r="AX372" i="1"/>
  <c r="BA372" i="1" s="1"/>
  <c r="AX197" i="1"/>
  <c r="BA197" i="1" s="1"/>
  <c r="AX252" i="1"/>
  <c r="BA252" i="1" s="1"/>
  <c r="AX379" i="1"/>
  <c r="BA379" i="1" s="1"/>
  <c r="AX322" i="1"/>
  <c r="BA322" i="1" s="1"/>
  <c r="AX472" i="1"/>
  <c r="BA472" i="1" s="1"/>
  <c r="AX394" i="1"/>
  <c r="BA394" i="1" s="1"/>
  <c r="AX19" i="1"/>
  <c r="BA19" i="1" s="1"/>
  <c r="AX459" i="1"/>
  <c r="BA459" i="1" s="1"/>
  <c r="AX33" i="1"/>
  <c r="BA33" i="1" s="1"/>
  <c r="AX355" i="1"/>
  <c r="BA355" i="1" s="1"/>
  <c r="AX265" i="1"/>
  <c r="BA265" i="1" s="1"/>
  <c r="AX184" i="1"/>
  <c r="BA184" i="1" s="1"/>
  <c r="AX378" i="1"/>
  <c r="BA378" i="1" s="1"/>
  <c r="AX263" i="1"/>
  <c r="BA263" i="1" s="1"/>
  <c r="AX469" i="1"/>
  <c r="BA469" i="1" s="1"/>
  <c r="AX272" i="1"/>
  <c r="BA272" i="1" s="1"/>
  <c r="AX399" i="1"/>
  <c r="BA399" i="1" s="1"/>
  <c r="AX278" i="1"/>
  <c r="BA278" i="1" s="1"/>
  <c r="AX169" i="1"/>
  <c r="BA169" i="1" s="1"/>
  <c r="AX119" i="1"/>
  <c r="BA119" i="1" s="1"/>
  <c r="AX489" i="1"/>
  <c r="BA489" i="1" s="1"/>
  <c r="AX408" i="1"/>
  <c r="BA408" i="1" s="1"/>
  <c r="AX404" i="1"/>
  <c r="BA404" i="1" s="1"/>
  <c r="AX258" i="1"/>
  <c r="BA258" i="1" s="1"/>
  <c r="AX135" i="1"/>
  <c r="BA135" i="1" s="1"/>
  <c r="AX524" i="1"/>
  <c r="BA524" i="1" s="1"/>
  <c r="AX192" i="1"/>
  <c r="BA192" i="1" s="1"/>
  <c r="AX400" i="1"/>
  <c r="BA400" i="1" s="1"/>
  <c r="AX141" i="1"/>
  <c r="BA141" i="1" s="1"/>
  <c r="AX201" i="1"/>
  <c r="BA201" i="1" s="1"/>
  <c r="AX241" i="1"/>
  <c r="BA241" i="1" s="1"/>
  <c r="AX440" i="1"/>
  <c r="BA440" i="1" s="1"/>
  <c r="AX150" i="1"/>
  <c r="BA150" i="1" s="1"/>
  <c r="AX383" i="1"/>
  <c r="BA383" i="1" s="1"/>
  <c r="AX432" i="1"/>
  <c r="BA432" i="1" s="1"/>
  <c r="AX166" i="1"/>
  <c r="BA166" i="1" s="1"/>
  <c r="AX209" i="1"/>
  <c r="BA209" i="1" s="1"/>
  <c r="AX497" i="1"/>
  <c r="BA497" i="1" s="1"/>
  <c r="AX506" i="1"/>
  <c r="BA506" i="1" s="1"/>
  <c r="AX517" i="1"/>
  <c r="BA517" i="1" s="1"/>
  <c r="AX247" i="1"/>
  <c r="BA247" i="1" s="1"/>
  <c r="AX101" i="1"/>
  <c r="BA101" i="1" s="1"/>
  <c r="AX62" i="1"/>
  <c r="BA62" i="1" s="1"/>
  <c r="AX419" i="1"/>
  <c r="BA419" i="1" s="1"/>
  <c r="AX493" i="1"/>
  <c r="BA493" i="1" s="1"/>
  <c r="AX418" i="1"/>
  <c r="BA418" i="1" s="1"/>
  <c r="AX226" i="1"/>
  <c r="BA226" i="1" s="1"/>
  <c r="AX164" i="1"/>
  <c r="BA164" i="1" s="1"/>
  <c r="AX110" i="1"/>
  <c r="BA110" i="1" s="1"/>
  <c r="AX388" i="1"/>
  <c r="BA388" i="1" s="1"/>
  <c r="AX284" i="1"/>
  <c r="BA284" i="1" s="1"/>
  <c r="AX139" i="1"/>
  <c r="BA139" i="1" s="1"/>
  <c r="AX203" i="1"/>
  <c r="BA203" i="1" s="1"/>
  <c r="AX221" i="1"/>
  <c r="BA221" i="1" s="1"/>
  <c r="AX5" i="1"/>
  <c r="BA5" i="1" s="1"/>
  <c r="AX124" i="1"/>
  <c r="BA124" i="1" s="1"/>
  <c r="AX439" i="1"/>
  <c r="BA439" i="1" s="1"/>
  <c r="AX505" i="1"/>
  <c r="BA505" i="1" s="1"/>
  <c r="AX142" i="1"/>
  <c r="BA142" i="1" s="1"/>
  <c r="AX533" i="1"/>
  <c r="BA533" i="1" s="1"/>
  <c r="AX501" i="1"/>
  <c r="BA501" i="1" s="1"/>
  <c r="AX304" i="1"/>
  <c r="BA304" i="1" s="1"/>
  <c r="AX227" i="1"/>
  <c r="BA227" i="1" s="1"/>
  <c r="AX235" i="1"/>
  <c r="BA235" i="1" s="1"/>
  <c r="AX178" i="1"/>
  <c r="BA178" i="1" s="1"/>
  <c r="AX332" i="1"/>
  <c r="BA332" i="1" s="1"/>
  <c r="AX250" i="1"/>
  <c r="BA250" i="1" s="1"/>
  <c r="AX219" i="1"/>
  <c r="BA219" i="1" s="1"/>
  <c r="AX343" i="1"/>
  <c r="BA343" i="1" s="1"/>
  <c r="AX276" i="1"/>
  <c r="BA276" i="1" s="1"/>
  <c r="AX345" i="1"/>
  <c r="BA345" i="1" s="1"/>
  <c r="AX211" i="1"/>
  <c r="BA211" i="1" s="1"/>
  <c r="AX449" i="1"/>
  <c r="BA449" i="1" s="1"/>
  <c r="AX414" i="1"/>
  <c r="BA414" i="1" s="1"/>
  <c r="AX213" i="1"/>
  <c r="BA213" i="1" s="1"/>
  <c r="AX170" i="1"/>
  <c r="BA170" i="1" s="1"/>
  <c r="AX286" i="1"/>
  <c r="BA286" i="1" s="1"/>
  <c r="AX295" i="1"/>
  <c r="BA295" i="1" s="1"/>
  <c r="AX67" i="1"/>
  <c r="BA67" i="1" s="1"/>
  <c r="AX108" i="1"/>
  <c r="BA108" i="1" s="1"/>
  <c r="AX267" i="1"/>
  <c r="BA267" i="1" s="1"/>
  <c r="AX384" i="1"/>
  <c r="BA384" i="1" s="1"/>
  <c r="AX151" i="1"/>
  <c r="BA151" i="1" s="1"/>
  <c r="AX447" i="1"/>
  <c r="BA447" i="1" s="1"/>
  <c r="AX361" i="1"/>
  <c r="BA361" i="1" s="1"/>
  <c r="AX283" i="1"/>
  <c r="BA283" i="1" s="1"/>
  <c r="AX468" i="1"/>
  <c r="BA468" i="1" s="1"/>
  <c r="AX86" i="1"/>
  <c r="BA86" i="1" s="1"/>
  <c r="AX264" i="1"/>
  <c r="BA264" i="1" s="1"/>
  <c r="AX407" i="1"/>
  <c r="BA407" i="1" s="1"/>
  <c r="AX306" i="1"/>
  <c r="BA306" i="1" s="1"/>
  <c r="AX240" i="1"/>
  <c r="BA240" i="1" s="1"/>
  <c r="AX236" i="1"/>
  <c r="BA236" i="1" s="1"/>
  <c r="AX281" i="1"/>
  <c r="BA281" i="1" s="1"/>
  <c r="AX153" i="1"/>
  <c r="BA153" i="1" s="1"/>
  <c r="AX147" i="1"/>
  <c r="BA147" i="1" s="1"/>
  <c r="AX525" i="1"/>
  <c r="BA525" i="1" s="1"/>
  <c r="AX154" i="1"/>
  <c r="BA154" i="1" s="1"/>
  <c r="AX35" i="1"/>
  <c r="BA35" i="1" s="1"/>
  <c r="AX470" i="1"/>
  <c r="BA470" i="1" s="1"/>
  <c r="AX387" i="1"/>
  <c r="BA387" i="1" s="1"/>
  <c r="AX293" i="1"/>
  <c r="BA293" i="1" s="1"/>
  <c r="AX65" i="1"/>
  <c r="BA65" i="1" s="1"/>
  <c r="AX60" i="1"/>
  <c r="BA60" i="1" s="1"/>
  <c r="AX127" i="1"/>
  <c r="BA127" i="1" s="1"/>
  <c r="AX105" i="1"/>
  <c r="BA105" i="1" s="1"/>
  <c r="AX502" i="1"/>
  <c r="BA502" i="1" s="1"/>
  <c r="AX521" i="1"/>
  <c r="BA521" i="1" s="1"/>
  <c r="AX540" i="1"/>
  <c r="BA540" i="1" s="1"/>
  <c r="AX303" i="1"/>
  <c r="BA303" i="1" s="1"/>
  <c r="AX331" i="1"/>
  <c r="BA331" i="1" s="1"/>
  <c r="AX410" i="1"/>
  <c r="BA410" i="1" s="1"/>
  <c r="AX360" i="1"/>
  <c r="BA360" i="1" s="1"/>
  <c r="AX454" i="1"/>
  <c r="BA454" i="1" s="1"/>
  <c r="AX393" i="1"/>
  <c r="BA393" i="1" s="1"/>
  <c r="AX289" i="1"/>
  <c r="BA289" i="1" s="1"/>
  <c r="AX190" i="1"/>
  <c r="BA190" i="1" s="1"/>
  <c r="AX462" i="1"/>
  <c r="BA462" i="1" s="1"/>
  <c r="AX415" i="1"/>
  <c r="BA415" i="1" s="1"/>
  <c r="AX229" i="1"/>
  <c r="BA229" i="1" s="1"/>
  <c r="AX367" i="1"/>
  <c r="BA367" i="1" s="1"/>
  <c r="AX160" i="1"/>
  <c r="BA160" i="1" s="1"/>
  <c r="AX471" i="1"/>
  <c r="BA471" i="1" s="1"/>
  <c r="AX370" i="1"/>
  <c r="BA370" i="1" s="1"/>
  <c r="AX187" i="1"/>
  <c r="BA187" i="1" s="1"/>
  <c r="AX329" i="1"/>
  <c r="BA329" i="1" s="1"/>
  <c r="AX490" i="1"/>
  <c r="BA490" i="1" s="1"/>
  <c r="AX268" i="1"/>
  <c r="BA268" i="1" s="1"/>
  <c r="AX91" i="1"/>
  <c r="BA91" i="1" s="1"/>
  <c r="AX474" i="1"/>
  <c r="BA474" i="1" s="1"/>
  <c r="AX344" i="1"/>
  <c r="BA344" i="1" s="1"/>
  <c r="AX279" i="1"/>
  <c r="BA279" i="1" s="1"/>
  <c r="AX451" i="1"/>
  <c r="BA451" i="1" s="1"/>
  <c r="AX231" i="1"/>
  <c r="BA231" i="1" s="1"/>
  <c r="AX386" i="1"/>
  <c r="BA386" i="1" s="1"/>
  <c r="AX186" i="1"/>
  <c r="BA186" i="1" s="1"/>
  <c r="AX371" i="1"/>
  <c r="BA371" i="1" s="1"/>
  <c r="AX436" i="1"/>
  <c r="BA436" i="1" s="1"/>
  <c r="AX534" i="1"/>
  <c r="BA534" i="1" s="1"/>
  <c r="AX494" i="1"/>
  <c r="BA494" i="1" s="1"/>
  <c r="AX152" i="1"/>
  <c r="BA152" i="1" s="1"/>
  <c r="AX47" i="1"/>
  <c r="BA47" i="1" s="1"/>
  <c r="AX24" i="1"/>
  <c r="BA24" i="1" s="1"/>
  <c r="AX509" i="1"/>
  <c r="BA509" i="1" s="1"/>
  <c r="AX518" i="1"/>
  <c r="BA518" i="1" s="1"/>
  <c r="AX316" i="1"/>
  <c r="BA316" i="1" s="1"/>
  <c r="AX473" i="1"/>
  <c r="BA473" i="1" s="1"/>
  <c r="AX369" i="1"/>
  <c r="BA369" i="1" s="1"/>
  <c r="AX475" i="1"/>
  <c r="BA475" i="1" s="1"/>
  <c r="AX21" i="1"/>
  <c r="BA21" i="1" s="1"/>
  <c r="AX45" i="1"/>
  <c r="BA45" i="1" s="1"/>
  <c r="AX32" i="1"/>
  <c r="BA32" i="1" s="1"/>
  <c r="AX132" i="1"/>
  <c r="BA132" i="1" s="1"/>
  <c r="AX328" i="1"/>
  <c r="BA328" i="1" s="1"/>
  <c r="AX223" i="1"/>
  <c r="BA223" i="1" s="1"/>
  <c r="AX409" i="1"/>
  <c r="BA409" i="1" s="1"/>
  <c r="AX285" i="1"/>
  <c r="BA285" i="1" s="1"/>
  <c r="AX375" i="1"/>
  <c r="BA375" i="1" s="1"/>
  <c r="AX539" i="1"/>
  <c r="BA539" i="1" s="1"/>
  <c r="AX522" i="1"/>
  <c r="BA522" i="1" s="1"/>
  <c r="AX390" i="1"/>
  <c r="BA390" i="1" s="1"/>
  <c r="AX89" i="1"/>
  <c r="BA89" i="1" s="1"/>
  <c r="AX156" i="1"/>
  <c r="BA156" i="1" s="1"/>
  <c r="AX13" i="1"/>
  <c r="BA13" i="1" s="1"/>
  <c r="AX125" i="1"/>
  <c r="BA125" i="1" s="1"/>
  <c r="AX498" i="1"/>
  <c r="BA498" i="1" s="1"/>
  <c r="AX416" i="1"/>
  <c r="BA416" i="1" s="1"/>
  <c r="AX87" i="1"/>
  <c r="BA87" i="1" s="1"/>
  <c r="AX515" i="1"/>
  <c r="BA515" i="1" s="1"/>
  <c r="AX380" i="1"/>
  <c r="BA380" i="1" s="1"/>
  <c r="AX291" i="1"/>
  <c r="BA291" i="1" s="1"/>
  <c r="AX413" i="1"/>
  <c r="BA413" i="1" s="1"/>
  <c r="AX99" i="1"/>
  <c r="BA99" i="1" s="1"/>
  <c r="AX214" i="1"/>
  <c r="BA214" i="1" s="1"/>
  <c r="AX225" i="1"/>
  <c r="BA225" i="1" s="1"/>
  <c r="AX49" i="1"/>
  <c r="BA49" i="1" s="1"/>
  <c r="AX234" i="1"/>
  <c r="BA234" i="1" s="1"/>
  <c r="AX43" i="1"/>
  <c r="BA43" i="1" s="1"/>
  <c r="AX460" i="1"/>
  <c r="BA460" i="1" s="1"/>
  <c r="AX270" i="1"/>
  <c r="BA270" i="1" s="1"/>
  <c r="AX155" i="1"/>
  <c r="BA155" i="1" s="1"/>
  <c r="AX188" i="1"/>
  <c r="BA188" i="1" s="1"/>
  <c r="AX531" i="1"/>
  <c r="BA531" i="1" s="1"/>
  <c r="AX182" i="1"/>
  <c r="BA182" i="1" s="1"/>
  <c r="AX337" i="1"/>
  <c r="BA337" i="1" s="1"/>
  <c r="AX83" i="1"/>
  <c r="BA83" i="1" s="1"/>
  <c r="AX292" i="1"/>
  <c r="BA292" i="1" s="1"/>
  <c r="AX330" i="1"/>
  <c r="BA330" i="1" s="1"/>
  <c r="AX109" i="1"/>
  <c r="BA109" i="1" s="1"/>
  <c r="AX23" i="1"/>
  <c r="BA23" i="1" s="1"/>
  <c r="AX382" i="1"/>
  <c r="BA382" i="1" s="1"/>
  <c r="AX120" i="1"/>
  <c r="BA120" i="1" s="1"/>
  <c r="AX532" i="1"/>
  <c r="BA532" i="1" s="1"/>
  <c r="AX300" i="1"/>
  <c r="BA300" i="1" s="1"/>
  <c r="AX259" i="1"/>
  <c r="BA259" i="1" s="1"/>
  <c r="AX412" i="1"/>
  <c r="BA412" i="1" s="1"/>
  <c r="AX41" i="1"/>
  <c r="BA41" i="1" s="1"/>
  <c r="AX121" i="1"/>
  <c r="BA121" i="1" s="1"/>
  <c r="AX526" i="1"/>
  <c r="BA526" i="1" s="1"/>
  <c r="AX359" i="1"/>
  <c r="BA359" i="1" s="1"/>
  <c r="AX97" i="1"/>
  <c r="BA97" i="1" s="1"/>
  <c r="AX68" i="1"/>
  <c r="BA68" i="1" s="1"/>
  <c r="AX339" i="1"/>
  <c r="BA339" i="1" s="1"/>
  <c r="AX37" i="1"/>
  <c r="BA37" i="1" s="1"/>
  <c r="AX111" i="1"/>
  <c r="BA111" i="1" s="1"/>
  <c r="AX159" i="1"/>
  <c r="BA159" i="1" s="1"/>
  <c r="AX507" i="1"/>
  <c r="BA507" i="1" s="1"/>
  <c r="AX133" i="1"/>
  <c r="BA133" i="1" s="1"/>
  <c r="AX230" i="1"/>
  <c r="BA230" i="1" s="1"/>
  <c r="AX181" i="1"/>
  <c r="BA181" i="1" s="1"/>
  <c r="AX176" i="1"/>
  <c r="BA176" i="1" s="1"/>
  <c r="AX438" i="1"/>
  <c r="BA438" i="1" s="1"/>
  <c r="AX368" i="1"/>
  <c r="BA368" i="1" s="1"/>
  <c r="AX100" i="1"/>
  <c r="BA100" i="1" s="1"/>
  <c r="AX15" i="1"/>
  <c r="BA15" i="1" s="1"/>
  <c r="AX269" i="1"/>
  <c r="BA269" i="1" s="1"/>
  <c r="AX168" i="1"/>
  <c r="BA168" i="1" s="1"/>
  <c r="AX208" i="1"/>
  <c r="BA208" i="1" s="1"/>
  <c r="AX253" i="1"/>
  <c r="BA253" i="1" s="1"/>
  <c r="AX185" i="1"/>
  <c r="BA185" i="1" s="1"/>
  <c r="AX30" i="1"/>
  <c r="BA30" i="1" s="1"/>
  <c r="AX59" i="1"/>
  <c r="BA59" i="1" s="1"/>
  <c r="AX189" i="1"/>
  <c r="BA189" i="1" s="1"/>
  <c r="AX7" i="1"/>
  <c r="BA7" i="1" s="1"/>
  <c r="AX377" i="1"/>
  <c r="BA377" i="1" s="1"/>
  <c r="AX346" i="1"/>
  <c r="BA346" i="1" s="1"/>
  <c r="AX9" i="1"/>
  <c r="BA9" i="1" s="1"/>
  <c r="AX79" i="1"/>
  <c r="BA79" i="1" s="1"/>
  <c r="AX508" i="1"/>
  <c r="BA508" i="1" s="1"/>
  <c r="AX500" i="1"/>
  <c r="BA500" i="1" s="1"/>
  <c r="AX535" i="1"/>
  <c r="BA535" i="1" s="1"/>
  <c r="AX446" i="1"/>
  <c r="BA446" i="1" s="1"/>
  <c r="AX298" i="1"/>
  <c r="BA298" i="1" s="1"/>
  <c r="AX204" i="1"/>
  <c r="BA204" i="1" s="1"/>
  <c r="AX305" i="1"/>
  <c r="BA305" i="1" s="1"/>
  <c r="AX92" i="1"/>
  <c r="BA92" i="1" s="1"/>
  <c r="AX402" i="1"/>
  <c r="BA402" i="1" s="1"/>
  <c r="AX162" i="1"/>
  <c r="BA162" i="1" s="1"/>
  <c r="AX321" i="1"/>
  <c r="BA321" i="1" s="1"/>
  <c r="AX313" i="1"/>
  <c r="BA313" i="1" s="1"/>
  <c r="AX465" i="1"/>
  <c r="BA465" i="1" s="1"/>
  <c r="AX356" i="1"/>
  <c r="BA356" i="1" s="1"/>
  <c r="AX395" i="1"/>
  <c r="BA395" i="1" s="1"/>
  <c r="AX220" i="1"/>
  <c r="BA220" i="1" s="1"/>
  <c r="AX406" i="1"/>
  <c r="BA406" i="1" s="1"/>
  <c r="AX239" i="1"/>
  <c r="BA239" i="1" s="1"/>
  <c r="AX165" i="1"/>
  <c r="BA165" i="1" s="1"/>
  <c r="AX11" i="1"/>
  <c r="BA11" i="1" s="1"/>
  <c r="AX496" i="1"/>
  <c r="BA496" i="1" s="1"/>
  <c r="AX389" i="1"/>
  <c r="BA389" i="1" s="1"/>
  <c r="AX107" i="1"/>
  <c r="BA107" i="1" s="1"/>
  <c r="AX161" i="1"/>
  <c r="BA161" i="1" s="1"/>
  <c r="AX26" i="1"/>
  <c r="BA26" i="1" s="1"/>
  <c r="AX18" i="1"/>
  <c r="BA18" i="1" s="1"/>
  <c r="AX46" i="1"/>
  <c r="BA46" i="1" s="1"/>
  <c r="AX504" i="1"/>
  <c r="BA504" i="1" s="1"/>
  <c r="AX448" i="1"/>
  <c r="BA448" i="1" s="1"/>
  <c r="AX391" i="1"/>
  <c r="BA391" i="1" s="1"/>
  <c r="AX104" i="1"/>
  <c r="BA104" i="1" s="1"/>
  <c r="AX51" i="1"/>
  <c r="BA51" i="1" s="1"/>
  <c r="AX94" i="1"/>
  <c r="BA94" i="1" s="1"/>
  <c r="AX323" i="1"/>
  <c r="BA323" i="1" s="1"/>
  <c r="AX290" i="1"/>
  <c r="BA290" i="1" s="1"/>
  <c r="AX363" i="1"/>
  <c r="BA363" i="1" s="1"/>
  <c r="AX320" i="1"/>
  <c r="BA320" i="1" s="1"/>
  <c r="AX538" i="1"/>
  <c r="BA538" i="1" s="1"/>
  <c r="AX511" i="1"/>
  <c r="BA511" i="1" s="1"/>
  <c r="AX512" i="1"/>
  <c r="BA512" i="1" s="1"/>
  <c r="AX463" i="1"/>
  <c r="BA463" i="1" s="1"/>
  <c r="AX248" i="1"/>
  <c r="BA248" i="1" s="1"/>
  <c r="AX8" i="1"/>
  <c r="BA8" i="1" s="1"/>
  <c r="AX122" i="1"/>
  <c r="BA122" i="1" s="1"/>
  <c r="AX353" i="1"/>
  <c r="BA353" i="1" s="1"/>
  <c r="AX205" i="1"/>
  <c r="BA205" i="1" s="1"/>
  <c r="AX302" i="1"/>
  <c r="BA302" i="1" s="1"/>
  <c r="AX27" i="1"/>
  <c r="BA27" i="1" s="1"/>
  <c r="AX137" i="1"/>
  <c r="BA137" i="1" s="1"/>
  <c r="AX453" i="1"/>
  <c r="BA453" i="1" s="1"/>
  <c r="AX452" i="1"/>
  <c r="BA452" i="1" s="1"/>
  <c r="AX352" i="1"/>
  <c r="BA352" i="1" s="1"/>
  <c r="AX336" i="1"/>
  <c r="BA336" i="1" s="1"/>
  <c r="AX96" i="1"/>
  <c r="BA96" i="1" s="1"/>
  <c r="AX103" i="1"/>
  <c r="BA103" i="1" s="1"/>
  <c r="AX57" i="1"/>
  <c r="BA57" i="1" s="1"/>
  <c r="AX64" i="1"/>
  <c r="BA64" i="1" s="1"/>
  <c r="AX398" i="1"/>
  <c r="BA398" i="1" s="1"/>
  <c r="AX405" i="1"/>
  <c r="BA405" i="1" s="1"/>
  <c r="AX34" i="1"/>
  <c r="BA34" i="1" s="1"/>
  <c r="AX255" i="1"/>
  <c r="BA255" i="1" s="1"/>
  <c r="AX212" i="1"/>
  <c r="BA212" i="1" s="1"/>
  <c r="AX294" i="1"/>
  <c r="BA294" i="1" s="1"/>
  <c r="AX277" i="1"/>
  <c r="BA277" i="1" s="1"/>
  <c r="AX218" i="1"/>
  <c r="BA218" i="1" s="1"/>
  <c r="AX123" i="1"/>
  <c r="BA123" i="1" s="1"/>
  <c r="AX130" i="1"/>
  <c r="BA130" i="1" s="1"/>
  <c r="AX138" i="1"/>
  <c r="BA138" i="1" s="1"/>
  <c r="AX523" i="1"/>
  <c r="BA523" i="1" s="1"/>
  <c r="AX354" i="1"/>
  <c r="BA354" i="1" s="1"/>
  <c r="AX444" i="1"/>
  <c r="BA444" i="1" s="1"/>
  <c r="AX254" i="1"/>
  <c r="BA254" i="1" s="1"/>
  <c r="AX140" i="1"/>
  <c r="BA140" i="1" s="1"/>
  <c r="AX274" i="1"/>
  <c r="BA274" i="1" s="1"/>
  <c r="AX16" i="1"/>
  <c r="BA16" i="1" s="1"/>
  <c r="AX433" i="1"/>
  <c r="BA433" i="1" s="1"/>
  <c r="AX38" i="1"/>
  <c r="BA38" i="1" s="1"/>
  <c r="AX437" i="1"/>
  <c r="BA437" i="1" s="1"/>
  <c r="AX335" i="1"/>
  <c r="BA335" i="1" s="1"/>
  <c r="AX464" i="1"/>
  <c r="BA464" i="1" s="1"/>
  <c r="AX318" i="1"/>
  <c r="BA318" i="1" s="1"/>
  <c r="AX309" i="1"/>
  <c r="BA309" i="1" s="1"/>
  <c r="AX61" i="1"/>
  <c r="BA61" i="1" s="1"/>
  <c r="AX95" i="1"/>
  <c r="BA95" i="1" s="1"/>
  <c r="AX28" i="1"/>
  <c r="BA28" i="1" s="1"/>
  <c r="AX80" i="1"/>
  <c r="BA80" i="1" s="1"/>
  <c r="AX434" i="1"/>
  <c r="BA434" i="1" s="1"/>
  <c r="AX455" i="1"/>
  <c r="BA455" i="1" s="1"/>
  <c r="AX196" i="1"/>
  <c r="BA196" i="1" s="1"/>
  <c r="AX308" i="1"/>
  <c r="BA308" i="1" s="1"/>
  <c r="AX78" i="1"/>
  <c r="BA78" i="1" s="1"/>
  <c r="AX249" i="1"/>
  <c r="BA249" i="1" s="1"/>
  <c r="AX260" i="1"/>
  <c r="BA260" i="1" s="1"/>
  <c r="AX193" i="1"/>
  <c r="BA193" i="1" s="1"/>
  <c r="AX307" i="1"/>
  <c r="BA307" i="1" s="1"/>
  <c r="AX516" i="1"/>
  <c r="BA516" i="1" s="1"/>
  <c r="AX333" i="1"/>
  <c r="BA333" i="1" s="1"/>
  <c r="AX417" i="1"/>
  <c r="BA417" i="1" s="1"/>
  <c r="AX206" i="1"/>
  <c r="BA206" i="1" s="1"/>
  <c r="AX31" i="1"/>
  <c r="BA31" i="1" s="1"/>
  <c r="AX134" i="1"/>
  <c r="BA134" i="1" s="1"/>
  <c r="AX428" i="1"/>
  <c r="BA428" i="1" s="1"/>
  <c r="AX362" i="1"/>
  <c r="BA362" i="1" s="1"/>
  <c r="AX297" i="1"/>
  <c r="BA297" i="1" s="1"/>
  <c r="AX381" i="1"/>
  <c r="BA381" i="1" s="1"/>
  <c r="AX374" i="1"/>
  <c r="BA374" i="1" s="1"/>
  <c r="AX66" i="1"/>
  <c r="BA66" i="1" s="1"/>
  <c r="AX314" i="1"/>
  <c r="BA314" i="1" s="1"/>
  <c r="AX157" i="1"/>
  <c r="BA157" i="1" s="1"/>
  <c r="AX326" i="1"/>
  <c r="BA326" i="1" s="1"/>
  <c r="AX351" i="1"/>
  <c r="BA351" i="1" s="1"/>
  <c r="AX282" i="1"/>
  <c r="BA282" i="1" s="1"/>
  <c r="AX527" i="1"/>
  <c r="BA527" i="1" s="1"/>
  <c r="AX262" i="1"/>
  <c r="BA262" i="1" s="1"/>
  <c r="AX58" i="1"/>
  <c r="BA58" i="1" s="1"/>
  <c r="AX485" i="1"/>
  <c r="BA485" i="1" s="1"/>
  <c r="AX245" i="1"/>
  <c r="BA245" i="1" s="1"/>
  <c r="AX106" i="1"/>
  <c r="BA106" i="1" s="1"/>
  <c r="AX530" i="1"/>
  <c r="BA530" i="1" s="1"/>
  <c r="AX519" i="1"/>
  <c r="BA519" i="1" s="1"/>
  <c r="AX484" i="1"/>
  <c r="BA484" i="1" s="1"/>
  <c r="AX327" i="1"/>
  <c r="BA327" i="1" s="1"/>
  <c r="AX467" i="1"/>
  <c r="BA467" i="1" s="1"/>
  <c r="AX488" i="1"/>
  <c r="BA488" i="1" s="1"/>
  <c r="AX422" i="1"/>
  <c r="BA422" i="1" s="1"/>
  <c r="AX348" i="1"/>
  <c r="BA348" i="1" s="1"/>
  <c r="AX341" i="1"/>
  <c r="BA341" i="1" s="1"/>
  <c r="AX256" i="1"/>
  <c r="BA256" i="1" s="1"/>
  <c r="AX317" i="1"/>
  <c r="BA317" i="1" s="1"/>
  <c r="AX296" i="1"/>
  <c r="BA296" i="1" s="1"/>
  <c r="AX238" i="1"/>
  <c r="BA238" i="1" s="1"/>
  <c r="AX149" i="1"/>
  <c r="BA149" i="1" s="1"/>
  <c r="AX36" i="1"/>
  <c r="BA36" i="1" s="1"/>
  <c r="AX180" i="1"/>
  <c r="BA180" i="1" s="1"/>
  <c r="AX113" i="1"/>
  <c r="BA113" i="1" s="1"/>
  <c r="AX17" i="1"/>
  <c r="BA17" i="1" s="1"/>
  <c r="AX148" i="1"/>
  <c r="BA148" i="1" s="1"/>
  <c r="AX70" i="1"/>
  <c r="BA70" i="1" s="1"/>
  <c r="AX25" i="1"/>
  <c r="BA25" i="1" s="1"/>
  <c r="AX85" i="1"/>
  <c r="BA85" i="1" s="1"/>
  <c r="AX487" i="1"/>
  <c r="BA487" i="1" s="1"/>
  <c r="AX232" i="1"/>
  <c r="BA232" i="1" s="1"/>
  <c r="AX466" i="1"/>
  <c r="BA466" i="1" s="1"/>
  <c r="AX72" i="1"/>
  <c r="BA72" i="1" s="1"/>
  <c r="AX84" i="1"/>
  <c r="BA84" i="1" s="1"/>
  <c r="AX340" i="1"/>
  <c r="BA340" i="1" s="1"/>
  <c r="AX503" i="1"/>
  <c r="BA503" i="1" s="1"/>
  <c r="AX401" i="1"/>
  <c r="BA401" i="1" s="1"/>
  <c r="AX257" i="1"/>
  <c r="BA257" i="1" s="1"/>
  <c r="AX224" i="1"/>
  <c r="BA224" i="1" s="1"/>
  <c r="AX191" i="1"/>
  <c r="BA191" i="1" s="1"/>
  <c r="AX131" i="1"/>
  <c r="BA131" i="1" s="1"/>
  <c r="AX199" i="1"/>
  <c r="BA199" i="1" s="1"/>
  <c r="AX200" i="1"/>
  <c r="BA200" i="1" s="1"/>
  <c r="AX81" i="1"/>
  <c r="BA81" i="1" s="1"/>
  <c r="AX357" i="1"/>
  <c r="BA357" i="1" s="1"/>
  <c r="AX261" i="1"/>
  <c r="BA261" i="1" s="1"/>
  <c r="AX6" i="1"/>
  <c r="BA6" i="1" s="1"/>
  <c r="AX280" i="1"/>
  <c r="BA280" i="1" s="1"/>
  <c r="AX520" i="1"/>
  <c r="BA520" i="1" s="1"/>
  <c r="AX403" i="1"/>
  <c r="BA403" i="1" s="1"/>
  <c r="AX430" i="1"/>
  <c r="BA430" i="1" s="1"/>
  <c r="AX273" i="1"/>
  <c r="BA273" i="1" s="1"/>
  <c r="AX222" i="1"/>
  <c r="BA222" i="1" s="1"/>
  <c r="AX93" i="1"/>
  <c r="BA93" i="1" s="1"/>
  <c r="AX310" i="1"/>
  <c r="BA310" i="1" s="1"/>
  <c r="AX207" i="1"/>
  <c r="BA207" i="1" s="1"/>
  <c r="AX63" i="1"/>
  <c r="BA63" i="1" s="1"/>
  <c r="AX14" i="1"/>
  <c r="BA14" i="1" s="1"/>
  <c r="AX129" i="1"/>
  <c r="BA129" i="1" s="1"/>
  <c r="AX112" i="1"/>
  <c r="BA112" i="1" s="1"/>
  <c r="AX486" i="1"/>
  <c r="BA486" i="1" s="1"/>
  <c r="AX325" i="1"/>
  <c r="BA325" i="1" s="1"/>
  <c r="AX411" i="1"/>
  <c r="BA411" i="1" s="1"/>
  <c r="AX40" i="1"/>
  <c r="BA40" i="1" s="1"/>
  <c r="AX71" i="1"/>
  <c r="BA71" i="1" s="1"/>
  <c r="AX364" i="1"/>
  <c r="BA364" i="1" s="1"/>
  <c r="AX458" i="1"/>
  <c r="BA458" i="1" s="1"/>
  <c r="AX366" i="1"/>
  <c r="BA366" i="1" s="1"/>
  <c r="AX397" i="1"/>
  <c r="BA397" i="1" s="1"/>
  <c r="AX312" i="1"/>
  <c r="BA312" i="1" s="1"/>
  <c r="AX266" i="1"/>
  <c r="BA266" i="1" s="1"/>
  <c r="AX242" i="1"/>
  <c r="BA242" i="1" s="1"/>
  <c r="AX358" i="1"/>
  <c r="BA358" i="1" s="1"/>
  <c r="AX347" i="1"/>
  <c r="BA347" i="1" s="1"/>
  <c r="AX271" i="1"/>
  <c r="BA271" i="1" s="1"/>
  <c r="AX246" i="1"/>
  <c r="BA246" i="1" s="1"/>
  <c r="AX171" i="1"/>
  <c r="BA171" i="1" s="1"/>
  <c r="AX163" i="1"/>
  <c r="BA163" i="1" s="1"/>
  <c r="AX126" i="1"/>
  <c r="BA126" i="1" s="1"/>
  <c r="AX4" i="1"/>
  <c r="BA4" i="1" s="1"/>
  <c r="AX20" i="1"/>
  <c r="BA20" i="1" s="1"/>
  <c r="AX373" i="1"/>
  <c r="BA373" i="1" s="1"/>
  <c r="AX450" i="1"/>
  <c r="BA450" i="1" s="1"/>
  <c r="AX350" i="1"/>
  <c r="BA350" i="1" s="1"/>
  <c r="AX287" i="1"/>
  <c r="BA287" i="1" s="1"/>
  <c r="AX429" i="1"/>
  <c r="BA429" i="1" s="1"/>
  <c r="AX342" i="1"/>
  <c r="BA342" i="1" s="1"/>
  <c r="AX29" i="1"/>
  <c r="BA29" i="1" s="1"/>
  <c r="AX195" i="1"/>
  <c r="BA195" i="1" s="1"/>
  <c r="AX172" i="1"/>
  <c r="BA172" i="1" s="1"/>
  <c r="AX179" i="1"/>
  <c r="BA179" i="1" s="1"/>
  <c r="AX53" i="1"/>
  <c r="BA53" i="1" s="1"/>
  <c r="AX492" i="1"/>
  <c r="BA492" i="1" s="1"/>
  <c r="AX50" i="1"/>
  <c r="BA50" i="1" s="1"/>
  <c r="AX10" i="1"/>
  <c r="BA10" i="1" s="1"/>
  <c r="AX88" i="1"/>
  <c r="BA88" i="1" s="1"/>
  <c r="AX42" i="1"/>
  <c r="BA42" i="1" s="1"/>
  <c r="AX39" i="1"/>
  <c r="BA39" i="1" s="1"/>
  <c r="AX98" i="1"/>
  <c r="BA98" i="1" s="1"/>
  <c r="S536" i="1"/>
  <c r="AR3" i="1"/>
  <c r="S141" i="1"/>
  <c r="S140" i="1"/>
  <c r="AB6" i="2"/>
  <c r="S91" i="1"/>
  <c r="S4" i="8"/>
  <c r="N4" i="8"/>
  <c r="AQ4" i="8" s="1"/>
  <c r="S65" i="1"/>
  <c r="S64" i="1"/>
  <c r="S510" i="1"/>
  <c r="S509" i="1"/>
  <c r="S508" i="1"/>
  <c r="S204" i="1"/>
  <c r="S233" i="1"/>
  <c r="I6" i="2"/>
  <c r="S535" i="1"/>
  <c r="S534" i="1"/>
  <c r="S488" i="1"/>
  <c r="S491" i="1"/>
  <c r="AO46" i="8"/>
  <c r="AN46" i="8"/>
  <c r="AM46" i="8"/>
  <c r="AL46" i="8"/>
  <c r="AP46" i="8"/>
  <c r="AQ5" i="8"/>
  <c r="AQ6" i="8"/>
  <c r="AQ7" i="8"/>
  <c r="AQ8" i="8"/>
  <c r="AQ9" i="8"/>
  <c r="AR10" i="8"/>
  <c r="AR13" i="8"/>
  <c r="AR16" i="8"/>
  <c r="AR19" i="8"/>
  <c r="AR22" i="8"/>
  <c r="AR25" i="8"/>
  <c r="AR28" i="8"/>
  <c r="AR31" i="8"/>
  <c r="AR34" i="8"/>
  <c r="AR37" i="8"/>
  <c r="AR40" i="8"/>
  <c r="AR43" i="8"/>
  <c r="AD46" i="8"/>
  <c r="AC46" i="8"/>
  <c r="AB46" i="8"/>
  <c r="AF46" i="8"/>
  <c r="AE46" i="8"/>
  <c r="T46" i="8"/>
  <c r="S46" i="8"/>
  <c r="R46" i="8"/>
  <c r="V46" i="8"/>
  <c r="U46" i="8"/>
  <c r="H46" i="8"/>
  <c r="I46" i="8"/>
  <c r="J46" i="8"/>
  <c r="K46" i="8"/>
  <c r="L46" i="8"/>
  <c r="S128" i="1"/>
  <c r="S90" i="1"/>
  <c r="S89" i="1"/>
  <c r="S203" i="1"/>
  <c r="S69" i="1"/>
  <c r="S67" i="1"/>
  <c r="S63" i="1"/>
  <c r="S62" i="1"/>
  <c r="S61" i="1"/>
  <c r="S60" i="1"/>
  <c r="S232" i="1"/>
  <c r="S231" i="1"/>
  <c r="S230" i="1"/>
  <c r="S229" i="1"/>
  <c r="S108" i="1"/>
  <c r="AR7" i="8"/>
  <c r="S323" i="1"/>
  <c r="J323" i="1"/>
  <c r="S322" i="1"/>
  <c r="J322" i="1"/>
  <c r="S321" i="1"/>
  <c r="J321" i="1"/>
  <c r="S320" i="1"/>
  <c r="J320" i="1"/>
  <c r="S319" i="1"/>
  <c r="J319" i="1"/>
  <c r="S318" i="1"/>
  <c r="J318" i="1"/>
  <c r="S317" i="1"/>
  <c r="J317" i="1"/>
  <c r="S316" i="1"/>
  <c r="J316" i="1"/>
  <c r="S315" i="1"/>
  <c r="J315" i="1"/>
  <c r="S314" i="1"/>
  <c r="J314" i="1"/>
  <c r="S313" i="1"/>
  <c r="J313" i="1"/>
  <c r="S312" i="1"/>
  <c r="J312" i="1"/>
  <c r="S311" i="1"/>
  <c r="J311" i="1"/>
  <c r="S310" i="1"/>
  <c r="J310" i="1"/>
  <c r="S309" i="1"/>
  <c r="J309" i="1"/>
  <c r="S308" i="1"/>
  <c r="J308" i="1"/>
  <c r="S307" i="1"/>
  <c r="J307" i="1"/>
  <c r="S306" i="1"/>
  <c r="J306" i="1"/>
  <c r="S305" i="1"/>
  <c r="J305" i="1"/>
  <c r="S304" i="1"/>
  <c r="J304" i="1"/>
  <c r="S303" i="1"/>
  <c r="J303" i="1"/>
  <c r="S302" i="1"/>
  <c r="J302" i="1"/>
  <c r="S301" i="1"/>
  <c r="J301" i="1"/>
  <c r="S300" i="1"/>
  <c r="J300" i="1"/>
  <c r="S299" i="1"/>
  <c r="J299" i="1"/>
  <c r="S298" i="1"/>
  <c r="J298" i="1"/>
  <c r="S297" i="1"/>
  <c r="J297" i="1"/>
  <c r="S296" i="1"/>
  <c r="J296" i="1"/>
  <c r="S295" i="1"/>
  <c r="J295" i="1"/>
  <c r="S294" i="1"/>
  <c r="J294" i="1"/>
  <c r="S293" i="1"/>
  <c r="J293" i="1"/>
  <c r="S292" i="1"/>
  <c r="J292" i="1"/>
  <c r="S291" i="1"/>
  <c r="J291" i="1"/>
  <c r="S290" i="1"/>
  <c r="J290" i="1"/>
  <c r="S59" i="1"/>
  <c r="S58" i="1"/>
  <c r="S107" i="1"/>
  <c r="S57" i="1"/>
  <c r="S56" i="1"/>
  <c r="S54" i="1"/>
  <c r="BD3" i="1"/>
  <c r="BC3" i="1"/>
  <c r="AZ3" i="1"/>
  <c r="AS3" i="1"/>
  <c r="AW3" i="1" s="1"/>
  <c r="S214" i="1"/>
  <c r="S213" i="1"/>
  <c r="S212" i="1"/>
  <c r="S211" i="1"/>
  <c r="S210" i="1"/>
  <c r="S209" i="1"/>
  <c r="S208" i="1"/>
  <c r="S207" i="1"/>
  <c r="S205" i="1"/>
  <c r="S202" i="1"/>
  <c r="S137" i="1"/>
  <c r="S136" i="1"/>
  <c r="S104" i="1"/>
  <c r="S176" i="1"/>
  <c r="S168" i="1"/>
  <c r="S201" i="1"/>
  <c r="S106" i="1"/>
  <c r="S200" i="1"/>
  <c r="S199" i="1"/>
  <c r="S55" i="1"/>
  <c r="S135" i="1"/>
  <c r="S134" i="1"/>
  <c r="S533" i="1"/>
  <c r="J533" i="1"/>
  <c r="S167" i="1"/>
  <c r="AK4" i="8"/>
  <c r="AK46" i="8"/>
  <c r="AJ4" i="8"/>
  <c r="AJ46" i="8" s="1"/>
  <c r="AA4" i="8"/>
  <c r="AA46" i="8"/>
  <c r="Z4" i="8"/>
  <c r="Q4" i="8"/>
  <c r="Q46" i="8"/>
  <c r="S490" i="1"/>
  <c r="AI46" i="8"/>
  <c r="AH46" i="8"/>
  <c r="AG46" i="8"/>
  <c r="Y46" i="8"/>
  <c r="X46" i="8"/>
  <c r="W46" i="8"/>
  <c r="O46" i="8"/>
  <c r="N46" i="8"/>
  <c r="M46" i="8"/>
  <c r="E46" i="8"/>
  <c r="D46" i="8"/>
  <c r="C46" i="8"/>
  <c r="Z46" i="8"/>
  <c r="G46" i="8"/>
  <c r="F46" i="8"/>
  <c r="S489" i="1"/>
  <c r="S53" i="1"/>
  <c r="S197" i="1"/>
  <c r="S166" i="1"/>
  <c r="S165" i="1"/>
  <c r="S164" i="1"/>
  <c r="S52" i="1"/>
  <c r="S487" i="1"/>
  <c r="S198" i="1"/>
  <c r="S196" i="1"/>
  <c r="S195" i="1"/>
  <c r="S131" i="1"/>
  <c r="S130" i="1"/>
  <c r="S92" i="1"/>
  <c r="S88" i="1"/>
  <c r="S105" i="1"/>
  <c r="S532" i="1"/>
  <c r="S531" i="1"/>
  <c r="S194" i="1"/>
  <c r="S42" i="1"/>
  <c r="S289" i="1"/>
  <c r="S288" i="1"/>
  <c r="S286" i="1"/>
  <c r="S285" i="1"/>
  <c r="S284" i="1"/>
  <c r="S283" i="1"/>
  <c r="S282" i="1"/>
  <c r="S281" i="1"/>
  <c r="S280" i="1"/>
  <c r="S278" i="1"/>
  <c r="S277" i="1"/>
  <c r="S276" i="1"/>
  <c r="S275" i="1"/>
  <c r="S274" i="1"/>
  <c r="S273" i="1"/>
  <c r="S272" i="1"/>
  <c r="S271" i="1"/>
  <c r="S270" i="1"/>
  <c r="S269" i="1"/>
  <c r="S268" i="1"/>
  <c r="S267" i="1"/>
  <c r="S266" i="1"/>
  <c r="S265" i="1"/>
  <c r="S264" i="1"/>
  <c r="S263" i="1"/>
  <c r="S262" i="1"/>
  <c r="S261" i="1"/>
  <c r="S260" i="1"/>
  <c r="S259" i="1"/>
  <c r="S362" i="1" s="1"/>
  <c r="S258" i="1"/>
  <c r="S257" i="1"/>
  <c r="S256" i="1"/>
  <c r="S255" i="1"/>
  <c r="S254" i="1"/>
  <c r="S253" i="1"/>
  <c r="S252" i="1"/>
  <c r="S251" i="1"/>
  <c r="S250" i="1"/>
  <c r="S249" i="1"/>
  <c r="S248" i="1"/>
  <c r="S247" i="1"/>
  <c r="S246" i="1"/>
  <c r="S245" i="1"/>
  <c r="S244" i="1"/>
  <c r="S243" i="1"/>
  <c r="S242" i="1"/>
  <c r="S241" i="1"/>
  <c r="S240" i="1"/>
  <c r="S287" i="1"/>
  <c r="J287" i="1"/>
  <c r="J286" i="1"/>
  <c r="J289" i="1"/>
  <c r="J288" i="1"/>
  <c r="S495" i="1"/>
  <c r="S530" i="1"/>
  <c r="S50" i="1"/>
  <c r="S193" i="1"/>
  <c r="S192" i="1"/>
  <c r="S163" i="1"/>
  <c r="S47" i="1"/>
  <c r="S48" i="1"/>
  <c r="S49" i="1"/>
  <c r="S129" i="1"/>
  <c r="S127" i="1"/>
  <c r="S126" i="1"/>
  <c r="S162" i="1"/>
  <c r="S191" i="1"/>
  <c r="S190" i="1"/>
  <c r="S189" i="1"/>
  <c r="S228" i="1"/>
  <c r="S227" i="1"/>
  <c r="S529" i="1"/>
  <c r="S46" i="1"/>
  <c r="S45" i="1"/>
  <c r="S161" i="1"/>
  <c r="S528" i="1"/>
  <c r="S103" i="1"/>
  <c r="S188" i="1"/>
  <c r="S527" i="1"/>
  <c r="S187" i="1"/>
  <c r="S6" i="1"/>
  <c r="S5" i="1"/>
  <c r="S4" i="1"/>
  <c r="S101" i="1"/>
  <c r="S100" i="1"/>
  <c r="S160" i="1"/>
  <c r="S159" i="1"/>
  <c r="J527" i="1"/>
  <c r="S96" i="1"/>
  <c r="S94" i="1"/>
  <c r="I4" i="2"/>
  <c r="AD4" i="2"/>
  <c r="Z4" i="2"/>
  <c r="AC4" i="2"/>
  <c r="J179" i="1"/>
  <c r="S179" i="1"/>
  <c r="J180" i="1"/>
  <c r="S180" i="1"/>
  <c r="J181" i="1"/>
  <c r="S181" i="1"/>
  <c r="S177" i="1"/>
  <c r="J178" i="1"/>
  <c r="S178" i="1"/>
  <c r="S486" i="1"/>
  <c r="S501" i="1"/>
  <c r="S502" i="1"/>
  <c r="S503" i="1"/>
  <c r="S504" i="1"/>
  <c r="S505" i="1"/>
  <c r="S506" i="1"/>
  <c r="S507" i="1"/>
  <c r="S516" i="1"/>
  <c r="S517" i="1"/>
  <c r="S518" i="1"/>
  <c r="S519" i="1"/>
  <c r="S520" i="1"/>
  <c r="S521" i="1"/>
  <c r="S522" i="1"/>
  <c r="S523" i="1"/>
  <c r="S524" i="1"/>
  <c r="S525" i="1"/>
  <c r="S526" i="1"/>
  <c r="S494" i="1"/>
  <c r="S499" i="1" s="1"/>
  <c r="S226" i="1"/>
  <c r="S225" i="1"/>
  <c r="S224" i="1"/>
  <c r="S223" i="1"/>
  <c r="S222" i="1"/>
  <c r="S221" i="1"/>
  <c r="S239" i="1" s="1"/>
  <c r="S186" i="1"/>
  <c r="S185" i="1"/>
  <c r="S157" i="1"/>
  <c r="S184" i="1"/>
  <c r="S158" i="1"/>
  <c r="S182" i="1"/>
  <c r="S156" i="1"/>
  <c r="S183" i="1"/>
  <c r="S155" i="1"/>
  <c r="S151" i="1"/>
  <c r="S154" i="1"/>
  <c r="S153" i="1"/>
  <c r="S152" i="1"/>
  <c r="S125" i="1"/>
  <c r="S124" i="1"/>
  <c r="S102" i="1"/>
  <c r="S87" i="1"/>
  <c r="S86" i="1"/>
  <c r="S85" i="1"/>
  <c r="S99" i="1"/>
  <c r="S98" i="1"/>
  <c r="S84" i="1"/>
  <c r="S97" i="1"/>
  <c r="S83" i="1"/>
  <c r="S95" i="1"/>
  <c r="S82" i="1"/>
  <c r="S81" i="1"/>
  <c r="S51" i="1"/>
  <c r="S44" i="1"/>
  <c r="S43" i="1"/>
  <c r="S40" i="1"/>
  <c r="S38" i="1"/>
  <c r="S36" i="1"/>
  <c r="S35" i="1"/>
  <c r="S33" i="1"/>
  <c r="S32" i="1"/>
  <c r="S30" i="1"/>
  <c r="S29" i="1"/>
  <c r="S28" i="1"/>
  <c r="S27" i="1"/>
  <c r="S26" i="1"/>
  <c r="S25" i="1"/>
  <c r="S24" i="1"/>
  <c r="S23" i="1"/>
  <c r="S21" i="1"/>
  <c r="S20" i="1"/>
  <c r="S19" i="1"/>
  <c r="S18" i="1"/>
  <c r="S17" i="1"/>
  <c r="S16" i="1"/>
  <c r="S15" i="1"/>
  <c r="S14" i="1"/>
  <c r="S13" i="1"/>
  <c r="S12" i="1"/>
  <c r="S11" i="1"/>
  <c r="S10" i="1"/>
  <c r="S9" i="1"/>
  <c r="S8" i="1"/>
  <c r="S7" i="1"/>
  <c r="S3" i="1"/>
  <c r="S41" i="1"/>
  <c r="S39" i="1"/>
  <c r="S37" i="1"/>
  <c r="S34" i="1"/>
  <c r="S31" i="1"/>
  <c r="S22" i="1"/>
  <c r="T241" i="1"/>
  <c r="J276" i="1"/>
  <c r="J272" i="1"/>
  <c r="J524" i="1"/>
  <c r="J526" i="1"/>
  <c r="L525" i="1"/>
  <c r="J525" i="1"/>
  <c r="J4" i="2"/>
  <c r="J285" i="1"/>
  <c r="J284" i="1"/>
  <c r="J283" i="1"/>
  <c r="J282" i="1"/>
  <c r="J281" i="1"/>
  <c r="J280" i="1"/>
  <c r="J278" i="1"/>
  <c r="J277" i="1"/>
  <c r="J275" i="1"/>
  <c r="J274" i="1"/>
  <c r="J273" i="1"/>
  <c r="J271" i="1"/>
  <c r="J270" i="1"/>
  <c r="J269" i="1"/>
  <c r="J268" i="1"/>
  <c r="J267" i="1"/>
  <c r="J266" i="1"/>
  <c r="J265" i="1"/>
  <c r="K261" i="1"/>
  <c r="V79" i="1"/>
  <c r="L4" i="2" s="1"/>
  <c r="N4" i="2"/>
  <c r="S79" i="1"/>
  <c r="S78" i="1"/>
  <c r="V80" i="1"/>
  <c r="M4" i="2" s="1"/>
  <c r="X4" i="2" s="1"/>
  <c r="V78" i="1"/>
  <c r="K4" i="2" s="1"/>
  <c r="J21" i="1"/>
  <c r="J20" i="1"/>
  <c r="J19" i="1"/>
  <c r="S122" i="1"/>
  <c r="U123" i="1"/>
  <c r="V123" i="1"/>
  <c r="M5" i="2" s="1"/>
  <c r="W5" i="2" s="1"/>
  <c r="W18" i="2"/>
  <c r="W17" i="2"/>
  <c r="N6" i="2"/>
  <c r="Y6" i="2" s="1"/>
  <c r="N5" i="2"/>
  <c r="H5" i="2"/>
  <c r="D13" i="2"/>
  <c r="U514" i="1"/>
  <c r="U513" i="1"/>
  <c r="U512" i="1"/>
  <c r="U511" i="1"/>
  <c r="V499" i="1"/>
  <c r="L11" i="2" s="1"/>
  <c r="V498" i="1"/>
  <c r="K11" i="2" s="1"/>
  <c r="V497" i="1"/>
  <c r="J11" i="2" s="1"/>
  <c r="V496" i="1"/>
  <c r="I11" i="2" s="1"/>
  <c r="U499" i="1"/>
  <c r="U498" i="1"/>
  <c r="U497" i="1"/>
  <c r="U496" i="1"/>
  <c r="U484" i="1"/>
  <c r="U483" i="1"/>
  <c r="U482" i="1"/>
  <c r="V484" i="1"/>
  <c r="L10" i="2" s="1"/>
  <c r="V483" i="1"/>
  <c r="K10" i="2" s="1"/>
  <c r="V482" i="1"/>
  <c r="J10" i="2" s="1"/>
  <c r="I10" i="2"/>
  <c r="V361" i="1"/>
  <c r="K9" i="2" s="1"/>
  <c r="V238" i="1"/>
  <c r="L8" i="2" s="1"/>
  <c r="V237" i="1"/>
  <c r="K8" i="2" s="1"/>
  <c r="V236" i="1"/>
  <c r="I8" i="2"/>
  <c r="U220" i="1"/>
  <c r="U219" i="1"/>
  <c r="U218" i="1"/>
  <c r="V220" i="1"/>
  <c r="L7" i="2" s="1"/>
  <c r="V219" i="1"/>
  <c r="K7" i="2" s="1"/>
  <c r="V218" i="1"/>
  <c r="J7" i="2" s="1"/>
  <c r="I7" i="2"/>
  <c r="L6" i="2"/>
  <c r="K6" i="2"/>
  <c r="J6" i="2"/>
  <c r="V122" i="1"/>
  <c r="L5" i="2" s="1"/>
  <c r="V121" i="1"/>
  <c r="K5" i="2" s="1"/>
  <c r="V120" i="1"/>
  <c r="J5" i="2" s="1"/>
  <c r="V119" i="1"/>
  <c r="I5" i="2" s="1"/>
  <c r="U122" i="1"/>
  <c r="U121" i="1"/>
  <c r="U120" i="1"/>
  <c r="U119" i="1"/>
  <c r="K260" i="1"/>
  <c r="J14" i="1"/>
  <c r="I375" i="1"/>
  <c r="J375" i="1"/>
  <c r="K375" i="1" s="1"/>
  <c r="L375" i="1" s="1"/>
  <c r="I373" i="1"/>
  <c r="J373" i="1"/>
  <c r="K373" i="1" s="1"/>
  <c r="L373" i="1" s="1"/>
  <c r="I379" i="1"/>
  <c r="J379" i="1"/>
  <c r="K379" i="1" s="1"/>
  <c r="L379" i="1" s="1"/>
  <c r="J374" i="1"/>
  <c r="K374" i="1" s="1"/>
  <c r="L374" i="1" s="1"/>
  <c r="I374" i="1"/>
  <c r="N8" i="2"/>
  <c r="Y8" i="2" s="1"/>
  <c r="J13" i="1"/>
  <c r="J153" i="1"/>
  <c r="CH7" i="3"/>
  <c r="AZ18" i="3"/>
  <c r="AZ83" i="3" s="1"/>
  <c r="FY83" i="3" s="1"/>
  <c r="AY18" i="3"/>
  <c r="AX18" i="3"/>
  <c r="AV18" i="3"/>
  <c r="S113" i="3" s="1"/>
  <c r="AU18" i="3"/>
  <c r="R113" i="3" s="1"/>
  <c r="AT18" i="3"/>
  <c r="M19" i="4" s="1"/>
  <c r="AS18" i="3"/>
  <c r="AR18" i="3"/>
  <c r="I365" i="1"/>
  <c r="I366" i="1"/>
  <c r="I367" i="1"/>
  <c r="I368" i="1"/>
  <c r="I369" i="1"/>
  <c r="I370" i="1"/>
  <c r="I371" i="1"/>
  <c r="I372" i="1"/>
  <c r="I364" i="1"/>
  <c r="CG20" i="3"/>
  <c r="AN7" i="3"/>
  <c r="AN9" i="3"/>
  <c r="CR33" i="3"/>
  <c r="CS33" i="3"/>
  <c r="CT33" i="3"/>
  <c r="CU33" i="3"/>
  <c r="CV33" i="3"/>
  <c r="CX33" i="3"/>
  <c r="CY33" i="3"/>
  <c r="CZ33" i="3"/>
  <c r="CR35" i="3"/>
  <c r="CS35" i="3"/>
  <c r="CT35" i="3"/>
  <c r="CU35" i="3"/>
  <c r="CV35" i="3"/>
  <c r="CX35" i="3"/>
  <c r="CY35" i="3"/>
  <c r="CZ35" i="3"/>
  <c r="CM16" i="3"/>
  <c r="CL16" i="3"/>
  <c r="CK16" i="3"/>
  <c r="CI16" i="3"/>
  <c r="CH16" i="3"/>
  <c r="CG16" i="3"/>
  <c r="CF16" i="3"/>
  <c r="CE16" i="3"/>
  <c r="CM14" i="3"/>
  <c r="CM82" i="3" s="1"/>
  <c r="CL14" i="3"/>
  <c r="CK14" i="3"/>
  <c r="CI14" i="3"/>
  <c r="CH14" i="3"/>
  <c r="CG14" i="3"/>
  <c r="CF14" i="3"/>
  <c r="CE14" i="3"/>
  <c r="CM24" i="3"/>
  <c r="CL24" i="3"/>
  <c r="CK24" i="3"/>
  <c r="CI24" i="3"/>
  <c r="CH24" i="3"/>
  <c r="CG24" i="3"/>
  <c r="CF24" i="3"/>
  <c r="CE24" i="3"/>
  <c r="CM18" i="3"/>
  <c r="CL18" i="3"/>
  <c r="CK18" i="3"/>
  <c r="CI18" i="3"/>
  <c r="CH18" i="3"/>
  <c r="CG18" i="3"/>
  <c r="CF18" i="3"/>
  <c r="CE18" i="3"/>
  <c r="CL12" i="3"/>
  <c r="CK12" i="3"/>
  <c r="CI12" i="3"/>
  <c r="CH12" i="3"/>
  <c r="CG12" i="3"/>
  <c r="CF12" i="3"/>
  <c r="CE12" i="3"/>
  <c r="CL8" i="3"/>
  <c r="CK8" i="3"/>
  <c r="CI8" i="3"/>
  <c r="CH8" i="3"/>
  <c r="CG8" i="3"/>
  <c r="CF8" i="3"/>
  <c r="CE8" i="3"/>
  <c r="CM22" i="3"/>
  <c r="CM70" i="3" s="1"/>
  <c r="CN10" i="3"/>
  <c r="CM10" i="3"/>
  <c r="CL10" i="3"/>
  <c r="CK10" i="3"/>
  <c r="CI10" i="3"/>
  <c r="CH10" i="3"/>
  <c r="CG10" i="3"/>
  <c r="CF10" i="3"/>
  <c r="CE10" i="3"/>
  <c r="CE20" i="3"/>
  <c r="CF20" i="3"/>
  <c r="CH20" i="3"/>
  <c r="CI20" i="3"/>
  <c r="CK20" i="3"/>
  <c r="CL20" i="3"/>
  <c r="CE22" i="3"/>
  <c r="CF22" i="3"/>
  <c r="CG22" i="3"/>
  <c r="Y6" i="4" s="1"/>
  <c r="CH22" i="3"/>
  <c r="AF100" i="3" s="1"/>
  <c r="CI22" i="3"/>
  <c r="AJ100" i="3" s="1"/>
  <c r="CK22" i="3"/>
  <c r="CL22" i="3"/>
  <c r="CM73" i="3"/>
  <c r="AV110" i="3"/>
  <c r="AU110" i="3"/>
  <c r="AT110" i="3"/>
  <c r="AS110" i="3"/>
  <c r="AR110" i="3"/>
  <c r="AQ110" i="3"/>
  <c r="AP110" i="3"/>
  <c r="AO110" i="3"/>
  <c r="AN110" i="3"/>
  <c r="AM110" i="3"/>
  <c r="AL110" i="3"/>
  <c r="AK110" i="3"/>
  <c r="AJ109" i="3"/>
  <c r="AI109" i="3"/>
  <c r="AH109" i="3"/>
  <c r="AG109" i="3"/>
  <c r="AF109" i="3"/>
  <c r="AE109" i="3"/>
  <c r="AD109" i="3"/>
  <c r="AC109" i="3"/>
  <c r="AB109" i="3"/>
  <c r="AA109" i="3"/>
  <c r="Z109" i="3"/>
  <c r="Y109" i="3"/>
  <c r="AV108" i="3"/>
  <c r="AU108" i="3"/>
  <c r="AT108" i="3"/>
  <c r="AS108" i="3"/>
  <c r="AR108" i="3"/>
  <c r="AQ108" i="3"/>
  <c r="AP108" i="3"/>
  <c r="AO108" i="3"/>
  <c r="AN108" i="3"/>
  <c r="AM108" i="3"/>
  <c r="AL108" i="3"/>
  <c r="AK108" i="3"/>
  <c r="AV104" i="3"/>
  <c r="AU104" i="3"/>
  <c r="AT104" i="3"/>
  <c r="AS104" i="3"/>
  <c r="AR104" i="3"/>
  <c r="AQ104" i="3"/>
  <c r="AP104" i="3"/>
  <c r="AO104" i="3"/>
  <c r="AN104" i="3"/>
  <c r="AM104" i="3"/>
  <c r="AL104" i="3"/>
  <c r="AK104" i="3"/>
  <c r="D110" i="3"/>
  <c r="D109" i="3"/>
  <c r="D108" i="3"/>
  <c r="D105" i="3"/>
  <c r="D103" i="3"/>
  <c r="D102" i="3"/>
  <c r="D100" i="3"/>
  <c r="U110" i="3"/>
  <c r="T110" i="3"/>
  <c r="S110" i="3"/>
  <c r="R110" i="3"/>
  <c r="Q110" i="3"/>
  <c r="P110" i="3"/>
  <c r="O110" i="3"/>
  <c r="N110" i="3"/>
  <c r="M110" i="3"/>
  <c r="L110" i="3"/>
  <c r="K110" i="3"/>
  <c r="J110" i="3"/>
  <c r="I110" i="3"/>
  <c r="H110" i="3"/>
  <c r="G110" i="3"/>
  <c r="F110" i="3"/>
  <c r="E110" i="3"/>
  <c r="L109" i="3"/>
  <c r="K109" i="3"/>
  <c r="J109" i="3"/>
  <c r="I109" i="3"/>
  <c r="H109" i="3"/>
  <c r="G109" i="3"/>
  <c r="F109" i="3"/>
  <c r="E109" i="3"/>
  <c r="L108" i="3"/>
  <c r="K108" i="3"/>
  <c r="J108" i="3"/>
  <c r="I108" i="3"/>
  <c r="H108" i="3"/>
  <c r="G108" i="3"/>
  <c r="F108" i="3"/>
  <c r="E108" i="3"/>
  <c r="U107" i="3"/>
  <c r="T107" i="3"/>
  <c r="S107" i="3"/>
  <c r="R107" i="3"/>
  <c r="Q107" i="3"/>
  <c r="P107" i="3"/>
  <c r="O107" i="3"/>
  <c r="N107" i="3"/>
  <c r="M107" i="3"/>
  <c r="U105" i="3"/>
  <c r="T105" i="3"/>
  <c r="S105" i="3"/>
  <c r="R105" i="3"/>
  <c r="Q105" i="3"/>
  <c r="P105" i="3"/>
  <c r="O105" i="3"/>
  <c r="N105" i="3"/>
  <c r="M105" i="3"/>
  <c r="L105" i="3"/>
  <c r="K105" i="3"/>
  <c r="J105" i="3"/>
  <c r="I105" i="3"/>
  <c r="H105" i="3"/>
  <c r="G105" i="3"/>
  <c r="F105" i="3"/>
  <c r="E105" i="3"/>
  <c r="U103" i="3"/>
  <c r="T103" i="3"/>
  <c r="S103" i="3"/>
  <c r="R103" i="3"/>
  <c r="Q103" i="3"/>
  <c r="P103" i="3"/>
  <c r="O103" i="3"/>
  <c r="N103" i="3"/>
  <c r="M103" i="3"/>
  <c r="L103" i="3"/>
  <c r="K103" i="3"/>
  <c r="J103" i="3"/>
  <c r="I103" i="3"/>
  <c r="H103" i="3"/>
  <c r="G103" i="3"/>
  <c r="F103" i="3"/>
  <c r="E103" i="3"/>
  <c r="L102" i="3"/>
  <c r="K102" i="3"/>
  <c r="J102" i="3"/>
  <c r="I102" i="3"/>
  <c r="H102" i="3"/>
  <c r="G102" i="3"/>
  <c r="F102" i="3"/>
  <c r="E102" i="3"/>
  <c r="L100" i="3"/>
  <c r="K100" i="3"/>
  <c r="J100" i="3"/>
  <c r="I100" i="3"/>
  <c r="H100" i="3"/>
  <c r="G100" i="3"/>
  <c r="F100" i="3"/>
  <c r="E100" i="3"/>
  <c r="J451" i="1"/>
  <c r="AS16" i="4"/>
  <c r="AR16" i="4"/>
  <c r="AQ16" i="4"/>
  <c r="AP16" i="4"/>
  <c r="AO16" i="4"/>
  <c r="AN16" i="4"/>
  <c r="AM16" i="4"/>
  <c r="AL16" i="4"/>
  <c r="AK16" i="4"/>
  <c r="AJ16" i="4"/>
  <c r="AI16" i="4"/>
  <c r="AH16" i="4"/>
  <c r="AG15" i="4"/>
  <c r="AF15" i="4"/>
  <c r="AE15" i="4"/>
  <c r="AD15" i="4"/>
  <c r="AC15" i="4"/>
  <c r="AB15" i="4"/>
  <c r="AA15" i="4"/>
  <c r="Z15" i="4"/>
  <c r="Y15" i="4"/>
  <c r="X15" i="4"/>
  <c r="W15" i="4"/>
  <c r="V15" i="4"/>
  <c r="AS14" i="4"/>
  <c r="AR14" i="4"/>
  <c r="AQ14" i="4"/>
  <c r="AP14" i="4"/>
  <c r="AO14" i="4"/>
  <c r="AN14" i="4"/>
  <c r="AM14" i="4"/>
  <c r="AL14" i="4"/>
  <c r="AK14" i="4"/>
  <c r="AJ14" i="4"/>
  <c r="AI14" i="4"/>
  <c r="AH14" i="4"/>
  <c r="AS10" i="4"/>
  <c r="AR10" i="4"/>
  <c r="AQ10" i="4"/>
  <c r="AP10" i="4"/>
  <c r="AO10" i="4"/>
  <c r="AN10" i="4"/>
  <c r="AM10" i="4"/>
  <c r="AL10" i="4"/>
  <c r="AK10" i="4"/>
  <c r="AJ10" i="4"/>
  <c r="AI10" i="4"/>
  <c r="AH10" i="4"/>
  <c r="S16" i="4"/>
  <c r="R16" i="4"/>
  <c r="Q16" i="4"/>
  <c r="P16" i="4"/>
  <c r="O16" i="4"/>
  <c r="N16" i="4"/>
  <c r="M16" i="4"/>
  <c r="L16" i="4"/>
  <c r="K16" i="4"/>
  <c r="J16" i="4"/>
  <c r="I16" i="4"/>
  <c r="H16" i="4"/>
  <c r="G16" i="4"/>
  <c r="F16" i="4"/>
  <c r="E16" i="4"/>
  <c r="D16" i="4"/>
  <c r="C16" i="4"/>
  <c r="B16" i="4"/>
  <c r="J15" i="4"/>
  <c r="I15" i="4"/>
  <c r="H15" i="4"/>
  <c r="G15" i="4"/>
  <c r="F15" i="4"/>
  <c r="E15" i="4"/>
  <c r="D15" i="4"/>
  <c r="C15" i="4"/>
  <c r="B15" i="4"/>
  <c r="J14" i="4"/>
  <c r="I14" i="4"/>
  <c r="H14" i="4"/>
  <c r="G14" i="4"/>
  <c r="F14" i="4"/>
  <c r="E14" i="4"/>
  <c r="D14" i="4"/>
  <c r="C14" i="4"/>
  <c r="B14" i="4"/>
  <c r="S13" i="4"/>
  <c r="R13" i="4"/>
  <c r="Q13" i="4"/>
  <c r="P13" i="4"/>
  <c r="O13" i="4"/>
  <c r="N13" i="4"/>
  <c r="M13" i="4"/>
  <c r="L13" i="4"/>
  <c r="K13" i="4"/>
  <c r="S11" i="4"/>
  <c r="R11" i="4"/>
  <c r="Q11" i="4"/>
  <c r="P11" i="4"/>
  <c r="O11" i="4"/>
  <c r="N11" i="4"/>
  <c r="M11" i="4"/>
  <c r="L11" i="4"/>
  <c r="K11" i="4"/>
  <c r="J11" i="4"/>
  <c r="I11" i="4"/>
  <c r="H11" i="4"/>
  <c r="G11" i="4"/>
  <c r="F11" i="4"/>
  <c r="E11" i="4"/>
  <c r="D11" i="4"/>
  <c r="C11" i="4"/>
  <c r="B11" i="4"/>
  <c r="S9" i="4"/>
  <c r="R9" i="4"/>
  <c r="Q9" i="4"/>
  <c r="P9" i="4"/>
  <c r="O9" i="4"/>
  <c r="N9" i="4"/>
  <c r="M9" i="4"/>
  <c r="L9" i="4"/>
  <c r="K9" i="4"/>
  <c r="J9" i="4"/>
  <c r="I9" i="4"/>
  <c r="H9" i="4"/>
  <c r="G9" i="4"/>
  <c r="F9" i="4"/>
  <c r="E9" i="4"/>
  <c r="D9" i="4"/>
  <c r="C9" i="4"/>
  <c r="B9" i="4"/>
  <c r="J8" i="4"/>
  <c r="I8" i="4"/>
  <c r="H8" i="4"/>
  <c r="G8" i="4"/>
  <c r="F8" i="4"/>
  <c r="E8" i="4"/>
  <c r="D8" i="4"/>
  <c r="C8" i="4"/>
  <c r="B8" i="4"/>
  <c r="J6" i="4"/>
  <c r="I6" i="4"/>
  <c r="H6" i="4"/>
  <c r="G6" i="4"/>
  <c r="F6" i="4"/>
  <c r="E6" i="4"/>
  <c r="D6" i="4"/>
  <c r="C6" i="4"/>
  <c r="B6" i="4"/>
  <c r="EZ83" i="3"/>
  <c r="CM83" i="3"/>
  <c r="BZ83" i="3"/>
  <c r="BM83" i="3"/>
  <c r="AM83" i="3"/>
  <c r="M83" i="3"/>
  <c r="EZ82" i="3"/>
  <c r="BZ82" i="3"/>
  <c r="BM82" i="3"/>
  <c r="Z82" i="3"/>
  <c r="M82" i="3"/>
  <c r="EZ81" i="3"/>
  <c r="EM81" i="3"/>
  <c r="DM81" i="3"/>
  <c r="BZ81" i="3"/>
  <c r="BM81" i="3"/>
  <c r="M81" i="3"/>
  <c r="EZ80" i="3"/>
  <c r="EM80" i="3"/>
  <c r="DZ80" i="3"/>
  <c r="DM80" i="3"/>
  <c r="CM80" i="3"/>
  <c r="BZ80" i="3"/>
  <c r="BM80" i="3"/>
  <c r="AZ80" i="3"/>
  <c r="AM80" i="3"/>
  <c r="Z80" i="3"/>
  <c r="M80" i="3"/>
  <c r="EZ79" i="3"/>
  <c r="EM79" i="3"/>
  <c r="DM79" i="3"/>
  <c r="CZ79" i="3"/>
  <c r="CM79" i="3"/>
  <c r="BZ79" i="3"/>
  <c r="BM79" i="3"/>
  <c r="AM79" i="3"/>
  <c r="Z79" i="3"/>
  <c r="M79" i="3"/>
  <c r="EZ78" i="3"/>
  <c r="DZ78" i="3"/>
  <c r="EM78" i="3"/>
  <c r="DM78" i="3"/>
  <c r="BZ78" i="3"/>
  <c r="AZ78" i="3"/>
  <c r="AM78" i="3"/>
  <c r="Z78" i="3"/>
  <c r="M78" i="3"/>
  <c r="EZ77" i="3"/>
  <c r="EM77" i="3"/>
  <c r="BZ77" i="3"/>
  <c r="BM77" i="3"/>
  <c r="AZ77" i="3"/>
  <c r="AM77" i="3"/>
  <c r="EZ76" i="3"/>
  <c r="EM76" i="3"/>
  <c r="CM76" i="3"/>
  <c r="BM76" i="3"/>
  <c r="AZ76" i="3"/>
  <c r="AM76" i="3"/>
  <c r="M76" i="3"/>
  <c r="EZ75" i="3"/>
  <c r="EM75" i="3"/>
  <c r="DM75" i="3"/>
  <c r="CM75" i="3"/>
  <c r="BZ75" i="3"/>
  <c r="BM75" i="3"/>
  <c r="AZ75" i="3"/>
  <c r="AM75" i="3"/>
  <c r="Z75" i="3"/>
  <c r="M75" i="3"/>
  <c r="EZ74" i="3"/>
  <c r="EM74" i="3"/>
  <c r="DZ74" i="3"/>
  <c r="CZ74" i="3"/>
  <c r="BZ74" i="3"/>
  <c r="BM74" i="3"/>
  <c r="AM74" i="3"/>
  <c r="DZ73" i="3"/>
  <c r="CZ73" i="3"/>
  <c r="BZ73" i="3"/>
  <c r="BM73" i="3"/>
  <c r="AZ73" i="3"/>
  <c r="AM73" i="3"/>
  <c r="Z73" i="3"/>
  <c r="M73" i="3"/>
  <c r="AZ72" i="3"/>
  <c r="AM72" i="3"/>
  <c r="Z72" i="3"/>
  <c r="M72" i="3"/>
  <c r="EZ71" i="3"/>
  <c r="CM71" i="3"/>
  <c r="BZ71" i="3"/>
  <c r="BM71" i="3"/>
  <c r="EZ70" i="3"/>
  <c r="EM70" i="3"/>
  <c r="DM70" i="3"/>
  <c r="CZ70" i="3"/>
  <c r="BZ70" i="3"/>
  <c r="AZ70" i="3"/>
  <c r="AM70" i="3"/>
  <c r="Z70" i="3"/>
  <c r="M70" i="3"/>
  <c r="DM69" i="3"/>
  <c r="BZ69" i="3"/>
  <c r="AZ69" i="3"/>
  <c r="EZ61" i="3"/>
  <c r="EM61" i="3"/>
  <c r="DZ61" i="3"/>
  <c r="DM61" i="3"/>
  <c r="CZ61" i="3"/>
  <c r="CM61" i="3"/>
  <c r="BZ61" i="3"/>
  <c r="BM61" i="3"/>
  <c r="AZ61" i="3"/>
  <c r="AM61" i="3"/>
  <c r="Z61" i="3"/>
  <c r="M61" i="3"/>
  <c r="EZ60" i="3"/>
  <c r="EM60" i="3"/>
  <c r="DZ60" i="3"/>
  <c r="DM60" i="3"/>
  <c r="CZ60" i="3"/>
  <c r="CM60" i="3"/>
  <c r="BZ60" i="3"/>
  <c r="BM60" i="3"/>
  <c r="AZ60" i="3"/>
  <c r="AM60" i="3"/>
  <c r="Z60" i="3"/>
  <c r="M60" i="3"/>
  <c r="EZ59" i="3"/>
  <c r="EM59" i="3"/>
  <c r="DZ59" i="3"/>
  <c r="DM59" i="3"/>
  <c r="CZ59" i="3"/>
  <c r="CM59" i="3"/>
  <c r="BZ59" i="3"/>
  <c r="BM59" i="3"/>
  <c r="AZ59" i="3"/>
  <c r="AM59" i="3"/>
  <c r="Z59" i="3"/>
  <c r="M59" i="3"/>
  <c r="EZ58" i="3"/>
  <c r="EM58" i="3"/>
  <c r="DZ58" i="3"/>
  <c r="DM58" i="3"/>
  <c r="CZ58" i="3"/>
  <c r="CM58" i="3"/>
  <c r="BZ58" i="3"/>
  <c r="BM58" i="3"/>
  <c r="AZ58" i="3"/>
  <c r="AM58" i="3"/>
  <c r="Z58" i="3"/>
  <c r="M58" i="3"/>
  <c r="EZ57" i="3"/>
  <c r="EM57" i="3"/>
  <c r="DZ57" i="3"/>
  <c r="DM57" i="3"/>
  <c r="CZ57" i="3"/>
  <c r="CM57" i="3"/>
  <c r="BZ57" i="3"/>
  <c r="BM57" i="3"/>
  <c r="AZ57" i="3"/>
  <c r="AM57" i="3"/>
  <c r="Z57" i="3"/>
  <c r="M57" i="3"/>
  <c r="EZ56" i="3"/>
  <c r="EM56" i="3"/>
  <c r="DZ56" i="3"/>
  <c r="DM56" i="3"/>
  <c r="CZ56" i="3"/>
  <c r="CM56" i="3"/>
  <c r="BZ56" i="3"/>
  <c r="BM56" i="3"/>
  <c r="AZ56" i="3"/>
  <c r="AM56" i="3"/>
  <c r="Z56" i="3"/>
  <c r="M56" i="3"/>
  <c r="EZ55" i="3"/>
  <c r="EM55" i="3"/>
  <c r="DZ55" i="3"/>
  <c r="DM55" i="3"/>
  <c r="CZ55" i="3"/>
  <c r="CM55" i="3"/>
  <c r="BZ55" i="3"/>
  <c r="BM55" i="3"/>
  <c r="AZ55" i="3"/>
  <c r="AM55" i="3"/>
  <c r="Z55" i="3"/>
  <c r="M55" i="3"/>
  <c r="EZ54" i="3"/>
  <c r="EM54" i="3"/>
  <c r="DZ54" i="3"/>
  <c r="DM54" i="3"/>
  <c r="CZ54" i="3"/>
  <c r="CM54" i="3"/>
  <c r="BZ54" i="3"/>
  <c r="BM54" i="3"/>
  <c r="AZ54" i="3"/>
  <c r="AM54" i="3"/>
  <c r="Z54" i="3"/>
  <c r="M54" i="3"/>
  <c r="EZ53" i="3"/>
  <c r="EM53" i="3"/>
  <c r="DZ53" i="3"/>
  <c r="DM53" i="3"/>
  <c r="CZ53" i="3"/>
  <c r="CM53" i="3"/>
  <c r="BZ53" i="3"/>
  <c r="BM53" i="3"/>
  <c r="AZ53" i="3"/>
  <c r="AM53" i="3"/>
  <c r="Z53" i="3"/>
  <c r="M53" i="3"/>
  <c r="EZ52" i="3"/>
  <c r="EM52" i="3"/>
  <c r="DZ52" i="3"/>
  <c r="DM52" i="3"/>
  <c r="CZ52" i="3"/>
  <c r="CM52" i="3"/>
  <c r="BZ52" i="3"/>
  <c r="BM52" i="3"/>
  <c r="AZ52" i="3"/>
  <c r="AM52" i="3"/>
  <c r="Z52" i="3"/>
  <c r="M52" i="3"/>
  <c r="EZ51" i="3"/>
  <c r="EM51" i="3"/>
  <c r="DZ51" i="3"/>
  <c r="DM51" i="3"/>
  <c r="CZ51" i="3"/>
  <c r="CM51" i="3"/>
  <c r="BZ51" i="3"/>
  <c r="BM51" i="3"/>
  <c r="AZ51" i="3"/>
  <c r="AM51" i="3"/>
  <c r="Z51" i="3"/>
  <c r="M51" i="3"/>
  <c r="EZ50" i="3"/>
  <c r="EM50" i="3"/>
  <c r="DZ50" i="3"/>
  <c r="DM50" i="3"/>
  <c r="CZ50" i="3"/>
  <c r="CM50" i="3"/>
  <c r="BZ50" i="3"/>
  <c r="BM50" i="3"/>
  <c r="AZ50" i="3"/>
  <c r="AM50" i="3"/>
  <c r="Z50" i="3"/>
  <c r="M50" i="3"/>
  <c r="EZ49" i="3"/>
  <c r="EM49" i="3"/>
  <c r="DZ49" i="3"/>
  <c r="DM49" i="3"/>
  <c r="CZ49" i="3"/>
  <c r="CM49" i="3"/>
  <c r="BZ49" i="3"/>
  <c r="BM49" i="3"/>
  <c r="AZ49" i="3"/>
  <c r="AM49" i="3"/>
  <c r="Z49" i="3"/>
  <c r="M49" i="3"/>
  <c r="EZ48" i="3"/>
  <c r="EM48" i="3"/>
  <c r="DZ48" i="3"/>
  <c r="DM48" i="3"/>
  <c r="CZ48" i="3"/>
  <c r="CM48" i="3"/>
  <c r="BZ48" i="3"/>
  <c r="BM48" i="3"/>
  <c r="AZ48" i="3"/>
  <c r="AM48" i="3"/>
  <c r="Z48" i="3"/>
  <c r="M48" i="3"/>
  <c r="EZ47" i="3"/>
  <c r="EM47" i="3"/>
  <c r="DZ47" i="3"/>
  <c r="DM47" i="3"/>
  <c r="CZ47" i="3"/>
  <c r="CM47" i="3"/>
  <c r="BZ47" i="3"/>
  <c r="BM47" i="3"/>
  <c r="AZ47" i="3"/>
  <c r="AM47" i="3"/>
  <c r="Z47" i="3"/>
  <c r="M47" i="3"/>
  <c r="DY31" i="3"/>
  <c r="DX31" i="3"/>
  <c r="DV31" i="3"/>
  <c r="AT106" i="3" s="1"/>
  <c r="DU31" i="3"/>
  <c r="AN12" i="4" s="1"/>
  <c r="DT31" i="3"/>
  <c r="AL106" i="3" s="1"/>
  <c r="DS31" i="3"/>
  <c r="DR31" i="3"/>
  <c r="DY29" i="3"/>
  <c r="DX29" i="3"/>
  <c r="DV29" i="3"/>
  <c r="AV111" i="3" s="1"/>
  <c r="DU29" i="3"/>
  <c r="AO17" i="4" s="1"/>
  <c r="DT29" i="3"/>
  <c r="AK17" i="4" s="1"/>
  <c r="DS29" i="3"/>
  <c r="DR29" i="3"/>
  <c r="DY27" i="3"/>
  <c r="DX27" i="3"/>
  <c r="DV27" i="3"/>
  <c r="DU27" i="3"/>
  <c r="DT27" i="3"/>
  <c r="DS27" i="3"/>
  <c r="DR27" i="3"/>
  <c r="DY25" i="3"/>
  <c r="DX25" i="3"/>
  <c r="DV25" i="3"/>
  <c r="AS6" i="4" s="1"/>
  <c r="DU25" i="3"/>
  <c r="AN6" i="4" s="1"/>
  <c r="DT25" i="3"/>
  <c r="DS25" i="3"/>
  <c r="DR25" i="3"/>
  <c r="DY23" i="3"/>
  <c r="DX23" i="3"/>
  <c r="DV23" i="3"/>
  <c r="DU23" i="3"/>
  <c r="DT23" i="3"/>
  <c r="DS23" i="3"/>
  <c r="DR23" i="3"/>
  <c r="DY21" i="3"/>
  <c r="DX21" i="3"/>
  <c r="DV21" i="3"/>
  <c r="AV105" i="3" s="1"/>
  <c r="DU21" i="3"/>
  <c r="AP105" i="3" s="1"/>
  <c r="DT21" i="3"/>
  <c r="AK11" i="4" s="1"/>
  <c r="DS21" i="3"/>
  <c r="DR21" i="3"/>
  <c r="DY19" i="3"/>
  <c r="DX19" i="3"/>
  <c r="DV19" i="3"/>
  <c r="DU19" i="3"/>
  <c r="DT19" i="3"/>
  <c r="DS19" i="3"/>
  <c r="DR19" i="3"/>
  <c r="EL18" i="3"/>
  <c r="EK18" i="3"/>
  <c r="EI18" i="3"/>
  <c r="EH18" i="3"/>
  <c r="EG18" i="3"/>
  <c r="EF18" i="3"/>
  <c r="EE18" i="3"/>
  <c r="DY18" i="3"/>
  <c r="DX18" i="3"/>
  <c r="DV18" i="3"/>
  <c r="DU18" i="3"/>
  <c r="DT18" i="3"/>
  <c r="DS18" i="3"/>
  <c r="DR18" i="3"/>
  <c r="EL17" i="3"/>
  <c r="EK17" i="3"/>
  <c r="EI17" i="3"/>
  <c r="EH17" i="3"/>
  <c r="EG17" i="3"/>
  <c r="EF17" i="3"/>
  <c r="EE17" i="3"/>
  <c r="DY16" i="3"/>
  <c r="DX16" i="3"/>
  <c r="DV16" i="3"/>
  <c r="DU16" i="3"/>
  <c r="DT16" i="3"/>
  <c r="DS16" i="3"/>
  <c r="DR16" i="3"/>
  <c r="EL15" i="3"/>
  <c r="EK15" i="3"/>
  <c r="EI15" i="3"/>
  <c r="EH15" i="3"/>
  <c r="EG15" i="3"/>
  <c r="EF15" i="3"/>
  <c r="EE15" i="3"/>
  <c r="DY14" i="3"/>
  <c r="DX14" i="3"/>
  <c r="DV14" i="3"/>
  <c r="DU14" i="3"/>
  <c r="DT14" i="3"/>
  <c r="DS14" i="3"/>
  <c r="DR14" i="3"/>
  <c r="EL13" i="3"/>
  <c r="EK13" i="3"/>
  <c r="EI13" i="3"/>
  <c r="EH13" i="3"/>
  <c r="EG13" i="3"/>
  <c r="EF13" i="3"/>
  <c r="EE13" i="3"/>
  <c r="DY13" i="3"/>
  <c r="DX13" i="3"/>
  <c r="DV13" i="3"/>
  <c r="DU13" i="3"/>
  <c r="DT13" i="3"/>
  <c r="DS13" i="3"/>
  <c r="DR13" i="3"/>
  <c r="EL11" i="3"/>
  <c r="EK11" i="3"/>
  <c r="EI11" i="3"/>
  <c r="EH11" i="3"/>
  <c r="EG11" i="3"/>
  <c r="EF11" i="3"/>
  <c r="EE11" i="3"/>
  <c r="DY11" i="3"/>
  <c r="DX11" i="3"/>
  <c r="DV11" i="3"/>
  <c r="EI7" i="3"/>
  <c r="EV7" i="3"/>
  <c r="DU11" i="3"/>
  <c r="DT11" i="3"/>
  <c r="DS11" i="3"/>
  <c r="DR11" i="3"/>
  <c r="EY10" i="3"/>
  <c r="EX10" i="3"/>
  <c r="EV10" i="3"/>
  <c r="EU10" i="3"/>
  <c r="ET10" i="3"/>
  <c r="ES10" i="3"/>
  <c r="ER10" i="3"/>
  <c r="EY9" i="3"/>
  <c r="EY5" i="3"/>
  <c r="EY7" i="3"/>
  <c r="EX9" i="3"/>
  <c r="EV9" i="3"/>
  <c r="EU9" i="3"/>
  <c r="ET9" i="3"/>
  <c r="ES9" i="3"/>
  <c r="ER9" i="3"/>
  <c r="EL9" i="3"/>
  <c r="EK9" i="3"/>
  <c r="EI9" i="3"/>
  <c r="EV5" i="3"/>
  <c r="EH9" i="3"/>
  <c r="EG9" i="3"/>
  <c r="EF9" i="3"/>
  <c r="EE9" i="3"/>
  <c r="DY9" i="3"/>
  <c r="DX9" i="3"/>
  <c r="DV9" i="3"/>
  <c r="AS15" i="4" s="1"/>
  <c r="DU9" i="3"/>
  <c r="AN15" i="4" s="1"/>
  <c r="DT9" i="3"/>
  <c r="AL109" i="3" s="1"/>
  <c r="DS9" i="3"/>
  <c r="DR9" i="3"/>
  <c r="EX7" i="3"/>
  <c r="EU7" i="3"/>
  <c r="ET7" i="3"/>
  <c r="ES7" i="3"/>
  <c r="ER7" i="3"/>
  <c r="EL7" i="3"/>
  <c r="EK7" i="3"/>
  <c r="EH7" i="3"/>
  <c r="EG7" i="3"/>
  <c r="EF7" i="3"/>
  <c r="EE7" i="3"/>
  <c r="EX5" i="3"/>
  <c r="EU5" i="3"/>
  <c r="ET5" i="3"/>
  <c r="ES5" i="3"/>
  <c r="ER5" i="3"/>
  <c r="EL5" i="3"/>
  <c r="EK5" i="3"/>
  <c r="EI5" i="3"/>
  <c r="EH5" i="3"/>
  <c r="EG5" i="3"/>
  <c r="EF5" i="3"/>
  <c r="EE5" i="3"/>
  <c r="DY5" i="3"/>
  <c r="DX5" i="3"/>
  <c r="DV5" i="3"/>
  <c r="DU5" i="3"/>
  <c r="DT5" i="3"/>
  <c r="DS5" i="3"/>
  <c r="DR5" i="3"/>
  <c r="CR17" i="3"/>
  <c r="CS17" i="3"/>
  <c r="CT17" i="3"/>
  <c r="CU17" i="3"/>
  <c r="CV17" i="3"/>
  <c r="CX17" i="3"/>
  <c r="CY17" i="3"/>
  <c r="CZ17" i="3"/>
  <c r="CZ83" i="3" s="1"/>
  <c r="CR19" i="3"/>
  <c r="CS19" i="3"/>
  <c r="CT19" i="3"/>
  <c r="AA110" i="3" s="1"/>
  <c r="CU19" i="3"/>
  <c r="AF110" i="3" s="1"/>
  <c r="CV19" i="3"/>
  <c r="AF16" i="4" s="1"/>
  <c r="CX19" i="3"/>
  <c r="CY19" i="3"/>
  <c r="CZ19" i="3"/>
  <c r="CZ80" i="3" s="1"/>
  <c r="CR21" i="3"/>
  <c r="CS21" i="3"/>
  <c r="CT21" i="3"/>
  <c r="CU21" i="3"/>
  <c r="CV21" i="3"/>
  <c r="CX21" i="3"/>
  <c r="CY21" i="3"/>
  <c r="CZ21" i="3"/>
  <c r="CR22" i="3"/>
  <c r="CS22" i="3"/>
  <c r="CT22" i="3"/>
  <c r="CU22" i="3"/>
  <c r="CV22" i="3"/>
  <c r="CX22" i="3"/>
  <c r="CY22" i="3"/>
  <c r="CZ22" i="3"/>
  <c r="CR24" i="3"/>
  <c r="CS24" i="3"/>
  <c r="CT24" i="3"/>
  <c r="CU24" i="3"/>
  <c r="CV24" i="3"/>
  <c r="CX24" i="3"/>
  <c r="CY24" i="3"/>
  <c r="CZ24" i="3"/>
  <c r="CR26" i="3"/>
  <c r="CS26" i="3"/>
  <c r="CT26" i="3"/>
  <c r="CU26" i="3"/>
  <c r="CV26" i="3"/>
  <c r="CX26" i="3"/>
  <c r="CY26" i="3"/>
  <c r="CR27" i="3"/>
  <c r="CS27" i="3"/>
  <c r="CT27" i="3"/>
  <c r="CU27" i="3"/>
  <c r="CV27" i="3"/>
  <c r="CX27" i="3"/>
  <c r="CY27" i="3"/>
  <c r="CR5" i="3"/>
  <c r="CS5" i="3"/>
  <c r="CT5" i="3"/>
  <c r="CU5" i="3"/>
  <c r="CV5" i="3"/>
  <c r="CX5" i="3"/>
  <c r="CY5" i="3"/>
  <c r="CZ5" i="3"/>
  <c r="CZ77" i="3" s="1"/>
  <c r="CR29" i="3"/>
  <c r="CS29" i="3"/>
  <c r="CT29" i="3"/>
  <c r="CU29" i="3"/>
  <c r="CV29" i="3"/>
  <c r="CX29" i="3"/>
  <c r="CY29" i="3"/>
  <c r="CZ29" i="3"/>
  <c r="CR31" i="3"/>
  <c r="CS31" i="3"/>
  <c r="CT31" i="3"/>
  <c r="CU31" i="3"/>
  <c r="CV31" i="3"/>
  <c r="CX31" i="3"/>
  <c r="CY31" i="3"/>
  <c r="CZ31" i="3"/>
  <c r="CZ81" i="3" s="1"/>
  <c r="CZ76" i="3"/>
  <c r="CZ15" i="3"/>
  <c r="CZ78" i="3" s="1"/>
  <c r="CY15" i="3"/>
  <c r="CX15" i="3"/>
  <c r="CV15" i="3"/>
  <c r="CU15" i="3"/>
  <c r="CT15" i="3"/>
  <c r="CS15" i="3"/>
  <c r="CR15" i="3"/>
  <c r="AR15" i="3"/>
  <c r="AS15" i="3"/>
  <c r="AT15" i="3"/>
  <c r="AU15" i="3"/>
  <c r="O18" i="4" s="1"/>
  <c r="AV15" i="3"/>
  <c r="AX15" i="3"/>
  <c r="AY15" i="3"/>
  <c r="AZ16" i="3"/>
  <c r="AY16" i="3"/>
  <c r="AX16" i="3"/>
  <c r="AV16" i="3"/>
  <c r="AU16" i="3"/>
  <c r="AT16" i="3"/>
  <c r="AS16" i="3"/>
  <c r="AR16" i="3"/>
  <c r="AZ15" i="3"/>
  <c r="L518" i="1"/>
  <c r="GC68" i="3"/>
  <c r="GC67" i="3"/>
  <c r="GC66" i="3"/>
  <c r="FB66" i="3"/>
  <c r="GC65" i="3"/>
  <c r="FB65" i="3"/>
  <c r="FB44" i="3"/>
  <c r="FB43" i="3"/>
  <c r="K241" i="1"/>
  <c r="K242" i="1"/>
  <c r="K244" i="1"/>
  <c r="K243" i="1"/>
  <c r="K247" i="1"/>
  <c r="K246" i="1"/>
  <c r="K245" i="1"/>
  <c r="K248" i="1"/>
  <c r="K249" i="1"/>
  <c r="K250" i="1"/>
  <c r="K251" i="1"/>
  <c r="K252" i="1"/>
  <c r="K253" i="1"/>
  <c r="K254" i="1"/>
  <c r="K255" i="1"/>
  <c r="K256" i="1"/>
  <c r="K257" i="1"/>
  <c r="K258" i="1"/>
  <c r="K259" i="1"/>
  <c r="K240" i="1"/>
  <c r="CU7" i="3"/>
  <c r="BH12" i="3"/>
  <c r="BH5" i="3"/>
  <c r="N5" i="4" s="1"/>
  <c r="BH14" i="3"/>
  <c r="P14" i="4" s="1"/>
  <c r="BH10" i="3"/>
  <c r="Q100" i="3" s="1"/>
  <c r="AU11" i="3"/>
  <c r="AU12" i="3"/>
  <c r="AU13" i="3"/>
  <c r="AU10" i="3"/>
  <c r="AU9" i="3"/>
  <c r="AH11" i="3"/>
  <c r="AH9" i="3"/>
  <c r="AH7" i="3"/>
  <c r="F18" i="4" s="1"/>
  <c r="AH5" i="3"/>
  <c r="U28" i="3"/>
  <c r="U26" i="3"/>
  <c r="U24" i="3"/>
  <c r="U23" i="3"/>
  <c r="U21" i="3"/>
  <c r="U19" i="3"/>
  <c r="U18" i="3"/>
  <c r="U16" i="3"/>
  <c r="I113" i="3" s="1"/>
  <c r="U14" i="3"/>
  <c r="U12" i="3"/>
  <c r="H7" i="3"/>
  <c r="U10" i="3"/>
  <c r="U8" i="3"/>
  <c r="U7" i="3"/>
  <c r="U5" i="3"/>
  <c r="H5" i="3"/>
  <c r="H16" i="3"/>
  <c r="H14" i="3"/>
  <c r="H13" i="3"/>
  <c r="H12" i="3"/>
  <c r="H10" i="3"/>
  <c r="H9" i="3"/>
  <c r="M5" i="3"/>
  <c r="M69" i="3" s="1"/>
  <c r="FX69" i="3" s="1"/>
  <c r="GC69" i="3" s="1"/>
  <c r="Z62" i="3"/>
  <c r="Z63" i="3"/>
  <c r="M63" i="3"/>
  <c r="M62" i="3"/>
  <c r="FZ48" i="3"/>
  <c r="Z64" i="3"/>
  <c r="CM62" i="3"/>
  <c r="EZ85" i="3"/>
  <c r="EZ63" i="3"/>
  <c r="EZ62" i="3"/>
  <c r="EM63" i="3"/>
  <c r="EM62" i="3"/>
  <c r="DM63" i="3"/>
  <c r="DM62" i="3"/>
  <c r="CM63" i="3"/>
  <c r="BZ85" i="3"/>
  <c r="BZ63" i="3"/>
  <c r="BZ62" i="3"/>
  <c r="BM63" i="3"/>
  <c r="BM62" i="3"/>
  <c r="AZ62" i="3"/>
  <c r="AM63" i="3"/>
  <c r="FX63" i="3"/>
  <c r="AM62" i="3"/>
  <c r="CZ63" i="3"/>
  <c r="CZ62" i="3"/>
  <c r="AZ63" i="3"/>
  <c r="CZ64" i="3"/>
  <c r="FY63" i="3"/>
  <c r="FY62" i="3"/>
  <c r="DZ14" i="3"/>
  <c r="DZ13" i="3"/>
  <c r="DE18" i="3"/>
  <c r="DF18" i="3"/>
  <c r="DG18" i="3"/>
  <c r="DH18" i="3"/>
  <c r="DI18" i="3"/>
  <c r="DK18" i="3"/>
  <c r="DL18" i="3"/>
  <c r="DM18" i="3"/>
  <c r="DM17" i="3"/>
  <c r="AR12" i="3"/>
  <c r="AS12" i="3"/>
  <c r="AT12" i="3"/>
  <c r="AV12" i="3"/>
  <c r="AX12" i="3"/>
  <c r="AY12" i="3"/>
  <c r="AZ12" i="3"/>
  <c r="AR13" i="3"/>
  <c r="AS13" i="3"/>
  <c r="AT13" i="3"/>
  <c r="AV13" i="3"/>
  <c r="AX13" i="3"/>
  <c r="AY13" i="3"/>
  <c r="AZ13" i="3"/>
  <c r="AZ11" i="3"/>
  <c r="FX48" i="3"/>
  <c r="FY48" i="3"/>
  <c r="GA48" i="3"/>
  <c r="FX49" i="3"/>
  <c r="FY49" i="3"/>
  <c r="FZ49" i="3"/>
  <c r="FX50" i="3"/>
  <c r="FY50" i="3"/>
  <c r="FZ50" i="3"/>
  <c r="FX51" i="3"/>
  <c r="FY51" i="3"/>
  <c r="FZ51" i="3"/>
  <c r="FX52" i="3"/>
  <c r="FY52" i="3"/>
  <c r="FZ52" i="3"/>
  <c r="GA52" i="3"/>
  <c r="FX53" i="3"/>
  <c r="FY53" i="3"/>
  <c r="FZ53" i="3"/>
  <c r="GA53" i="3"/>
  <c r="FX54" i="3"/>
  <c r="FY54" i="3"/>
  <c r="FZ54" i="3"/>
  <c r="GA54" i="3"/>
  <c r="FX55" i="3"/>
  <c r="FY55" i="3"/>
  <c r="FZ55" i="3"/>
  <c r="GA55" i="3"/>
  <c r="FX56" i="3"/>
  <c r="FY56" i="3"/>
  <c r="FZ56" i="3"/>
  <c r="GA56" i="3"/>
  <c r="FX57" i="3"/>
  <c r="FY57" i="3"/>
  <c r="FZ57" i="3"/>
  <c r="GA57" i="3"/>
  <c r="FX58" i="3"/>
  <c r="FY58" i="3"/>
  <c r="FZ58" i="3"/>
  <c r="GA58" i="3"/>
  <c r="FX59" i="3"/>
  <c r="FY59" i="3"/>
  <c r="FZ59" i="3"/>
  <c r="GA59" i="3"/>
  <c r="FX60" i="3"/>
  <c r="FY60" i="3"/>
  <c r="FZ60" i="3"/>
  <c r="FX61" i="3"/>
  <c r="FY61" i="3"/>
  <c r="FZ61" i="3"/>
  <c r="FZ47" i="3"/>
  <c r="FY47" i="3"/>
  <c r="FX47" i="3"/>
  <c r="GC59" i="3"/>
  <c r="GC58" i="3"/>
  <c r="GC57" i="3"/>
  <c r="GC56" i="3"/>
  <c r="GC55" i="3"/>
  <c r="GC54" i="3"/>
  <c r="GC53" i="3"/>
  <c r="GC52" i="3"/>
  <c r="GC48" i="3"/>
  <c r="DY7" i="3"/>
  <c r="DX7" i="3"/>
  <c r="DV7" i="3"/>
  <c r="AV107" i="3" s="1"/>
  <c r="DU7" i="3"/>
  <c r="AP107" i="3" s="1"/>
  <c r="DT7" i="3"/>
  <c r="AK13" i="4" s="1"/>
  <c r="DS7" i="3"/>
  <c r="DR7" i="3"/>
  <c r="DL29" i="3"/>
  <c r="DK29" i="3"/>
  <c r="DI29" i="3"/>
  <c r="DH29" i="3"/>
  <c r="DG29" i="3"/>
  <c r="DF29" i="3"/>
  <c r="DE29" i="3"/>
  <c r="DL27" i="3"/>
  <c r="DK27" i="3"/>
  <c r="DI27" i="3"/>
  <c r="DH27" i="3"/>
  <c r="DG27" i="3"/>
  <c r="DF27" i="3"/>
  <c r="DE27" i="3"/>
  <c r="DL25" i="3"/>
  <c r="DK25" i="3"/>
  <c r="DI25" i="3"/>
  <c r="DH25" i="3"/>
  <c r="DG25" i="3"/>
  <c r="DF25" i="3"/>
  <c r="DE25" i="3"/>
  <c r="DL23" i="3"/>
  <c r="DK23" i="3"/>
  <c r="DI23" i="3"/>
  <c r="DH23" i="3"/>
  <c r="DG23" i="3"/>
  <c r="DF23" i="3"/>
  <c r="DE23" i="3"/>
  <c r="DE21" i="3"/>
  <c r="DF21" i="3"/>
  <c r="DG21" i="3"/>
  <c r="DH21" i="3"/>
  <c r="DI21" i="3"/>
  <c r="DK21" i="3"/>
  <c r="DL21" i="3"/>
  <c r="DL20" i="3"/>
  <c r="DK20" i="3"/>
  <c r="DI20" i="3"/>
  <c r="DH20" i="3"/>
  <c r="DG20" i="3"/>
  <c r="DF20" i="3"/>
  <c r="DE20" i="3"/>
  <c r="DL17" i="3"/>
  <c r="DK17" i="3"/>
  <c r="DI17" i="3"/>
  <c r="DH17" i="3"/>
  <c r="DG17" i="3"/>
  <c r="DF17" i="3"/>
  <c r="DE17" i="3"/>
  <c r="DL15" i="3"/>
  <c r="DK15" i="3"/>
  <c r="DI15" i="3"/>
  <c r="DH15" i="3"/>
  <c r="DG15" i="3"/>
  <c r="DF15" i="3"/>
  <c r="DE15" i="3"/>
  <c r="DL13" i="3"/>
  <c r="DK13" i="3"/>
  <c r="DI13" i="3"/>
  <c r="AG12" i="4" s="1"/>
  <c r="DH13" i="3"/>
  <c r="DG13" i="3"/>
  <c r="AA106" i="3" s="1"/>
  <c r="DF13" i="3"/>
  <c r="DE13" i="3"/>
  <c r="DL11" i="3"/>
  <c r="DK11" i="3"/>
  <c r="DI11" i="3"/>
  <c r="DH11" i="3"/>
  <c r="DG11" i="3"/>
  <c r="DF11" i="3"/>
  <c r="DE11" i="3"/>
  <c r="DE10" i="3"/>
  <c r="DF10" i="3"/>
  <c r="DG10" i="3"/>
  <c r="DH10" i="3"/>
  <c r="DI10" i="3"/>
  <c r="DI9" i="3"/>
  <c r="DK10" i="3"/>
  <c r="DL10" i="3"/>
  <c r="DL9" i="3"/>
  <c r="DK9" i="3"/>
  <c r="DH9" i="3"/>
  <c r="DG9" i="3"/>
  <c r="DF9" i="3"/>
  <c r="DE9" i="3"/>
  <c r="DL7" i="3"/>
  <c r="DK7" i="3"/>
  <c r="DI7" i="3"/>
  <c r="DH7" i="3"/>
  <c r="DG7" i="3"/>
  <c r="DF7" i="3"/>
  <c r="DE7" i="3"/>
  <c r="DL5" i="3"/>
  <c r="DK5" i="3"/>
  <c r="DI5" i="3"/>
  <c r="DH5" i="3"/>
  <c r="DG5" i="3"/>
  <c r="DF5" i="3"/>
  <c r="DE5" i="3"/>
  <c r="CY13" i="3"/>
  <c r="CX13" i="3"/>
  <c r="CV13" i="3"/>
  <c r="CU13" i="3"/>
  <c r="CT13" i="3"/>
  <c r="CS13" i="3"/>
  <c r="CR13" i="3"/>
  <c r="CY11" i="3"/>
  <c r="CX11" i="3"/>
  <c r="CV11" i="3"/>
  <c r="CU11" i="3"/>
  <c r="CT11" i="3"/>
  <c r="CS11" i="3"/>
  <c r="CR11" i="3"/>
  <c r="CY9" i="3"/>
  <c r="CX9" i="3"/>
  <c r="CV9" i="3"/>
  <c r="CU9" i="3"/>
  <c r="CT9" i="3"/>
  <c r="CS9" i="3"/>
  <c r="CR9" i="3"/>
  <c r="CR7" i="3"/>
  <c r="CY7" i="3"/>
  <c r="CX7" i="3"/>
  <c r="CV7" i="3"/>
  <c r="CT7" i="3"/>
  <c r="CS7" i="3"/>
  <c r="CL7" i="3"/>
  <c r="CK7" i="3"/>
  <c r="CI7" i="3"/>
  <c r="CG7" i="3"/>
  <c r="CF7" i="3"/>
  <c r="CE7" i="3"/>
  <c r="CL5" i="3"/>
  <c r="CK5" i="3"/>
  <c r="CI5" i="3"/>
  <c r="CH5" i="3"/>
  <c r="CG5" i="3"/>
  <c r="CF5" i="3"/>
  <c r="CE5" i="3"/>
  <c r="CM5" i="3"/>
  <c r="BR7" i="3"/>
  <c r="BS7" i="3"/>
  <c r="BT7" i="3"/>
  <c r="BU7" i="3"/>
  <c r="BV7" i="3"/>
  <c r="BX7" i="3"/>
  <c r="BY7" i="3"/>
  <c r="BY8" i="3"/>
  <c r="BX8" i="3"/>
  <c r="BV8" i="3"/>
  <c r="BU8" i="3"/>
  <c r="BT8" i="3"/>
  <c r="BS8" i="3"/>
  <c r="BR8" i="3"/>
  <c r="BY5" i="3"/>
  <c r="BX5" i="3"/>
  <c r="BV5" i="3"/>
  <c r="BU5" i="3"/>
  <c r="R106" i="3" s="1"/>
  <c r="AU5" i="3"/>
  <c r="P7" i="4" s="1"/>
  <c r="BH7" i="3"/>
  <c r="BH8" i="3"/>
  <c r="AU7" i="3"/>
  <c r="O10" i="4" s="1"/>
  <c r="BT5" i="3"/>
  <c r="M12" i="4" s="1"/>
  <c r="BS5" i="3"/>
  <c r="BR5" i="3"/>
  <c r="BL14" i="3"/>
  <c r="BK14" i="3"/>
  <c r="BI14" i="3"/>
  <c r="T108" i="3" s="1"/>
  <c r="BG14" i="3"/>
  <c r="N108" i="3" s="1"/>
  <c r="BF14" i="3"/>
  <c r="BE14" i="3"/>
  <c r="BL12" i="3"/>
  <c r="BK12" i="3"/>
  <c r="BI12" i="3"/>
  <c r="BG12" i="3"/>
  <c r="BF12" i="3"/>
  <c r="BE12" i="3"/>
  <c r="BL10" i="3"/>
  <c r="BK10" i="3"/>
  <c r="BI10" i="3"/>
  <c r="BG10" i="3"/>
  <c r="N100" i="3" s="1"/>
  <c r="BM10" i="3"/>
  <c r="BM70" i="3" s="1"/>
  <c r="BF10" i="3"/>
  <c r="BE10" i="3"/>
  <c r="BE8" i="3"/>
  <c r="BF8" i="3"/>
  <c r="BG8" i="3"/>
  <c r="BI8" i="3"/>
  <c r="BK8" i="3"/>
  <c r="BL8" i="3"/>
  <c r="BL7" i="3"/>
  <c r="BK7" i="3"/>
  <c r="BK5" i="3"/>
  <c r="BI7" i="3"/>
  <c r="BI5" i="3"/>
  <c r="S99" i="3" s="1"/>
  <c r="BG7" i="3"/>
  <c r="BF7" i="3"/>
  <c r="BF5" i="3"/>
  <c r="BE7" i="3"/>
  <c r="BL5" i="3"/>
  <c r="BG5" i="3"/>
  <c r="N99" i="3" s="1"/>
  <c r="BE5" i="3"/>
  <c r="BM5" i="3"/>
  <c r="BM86" i="3" s="1"/>
  <c r="AR11" i="3"/>
  <c r="AR5" i="3"/>
  <c r="AR7" i="3"/>
  <c r="AR9" i="3"/>
  <c r="AR10" i="3"/>
  <c r="AS11" i="3"/>
  <c r="AT11" i="3"/>
  <c r="AV11" i="3"/>
  <c r="AX11" i="3"/>
  <c r="AY11" i="3"/>
  <c r="AX10" i="3"/>
  <c r="AV10" i="3"/>
  <c r="AT10" i="3"/>
  <c r="AS10" i="3"/>
  <c r="AY10" i="3"/>
  <c r="AY9" i="3"/>
  <c r="AX9" i="3"/>
  <c r="AV9" i="3"/>
  <c r="AT9" i="3"/>
  <c r="AS9" i="3"/>
  <c r="AY7" i="3"/>
  <c r="AX7" i="3"/>
  <c r="AV7" i="3"/>
  <c r="AT7" i="3"/>
  <c r="M10" i="4" s="1"/>
  <c r="AS7" i="3"/>
  <c r="AY5" i="3"/>
  <c r="AX5" i="3"/>
  <c r="AV5" i="3"/>
  <c r="R7" i="4" s="1"/>
  <c r="AT5" i="3"/>
  <c r="M7" i="4" s="1"/>
  <c r="AS5" i="3"/>
  <c r="AE5" i="3"/>
  <c r="AK11" i="3"/>
  <c r="AL11" i="3"/>
  <c r="AI11" i="3"/>
  <c r="AG11" i="3"/>
  <c r="AF11" i="3"/>
  <c r="AE11" i="3"/>
  <c r="AK9" i="3"/>
  <c r="AL9" i="3"/>
  <c r="AI9" i="3"/>
  <c r="J17" i="4" s="1"/>
  <c r="AG9" i="3"/>
  <c r="AF9" i="3"/>
  <c r="AE9" i="3"/>
  <c r="AL7" i="3"/>
  <c r="AK7" i="3"/>
  <c r="AI7" i="3"/>
  <c r="L112" i="3" s="1"/>
  <c r="AG7" i="3"/>
  <c r="C18" i="4" s="1"/>
  <c r="AF7" i="3"/>
  <c r="AF5" i="3"/>
  <c r="F5" i="3"/>
  <c r="F12" i="3"/>
  <c r="F13" i="3"/>
  <c r="F14" i="3"/>
  <c r="F7" i="3"/>
  <c r="F9" i="3"/>
  <c r="F10" i="3"/>
  <c r="F16" i="3"/>
  <c r="S23" i="3"/>
  <c r="S24" i="3"/>
  <c r="S28" i="3"/>
  <c r="S5" i="3"/>
  <c r="S7" i="3"/>
  <c r="S8" i="3"/>
  <c r="S10" i="3"/>
  <c r="S12" i="3"/>
  <c r="S14" i="3"/>
  <c r="S16" i="3"/>
  <c r="S18" i="3"/>
  <c r="S19" i="3"/>
  <c r="S21" i="3"/>
  <c r="S26" i="3"/>
  <c r="AE7" i="3"/>
  <c r="AK5" i="3"/>
  <c r="AL5" i="3"/>
  <c r="AI5" i="3"/>
  <c r="AG5" i="3"/>
  <c r="Y28" i="3"/>
  <c r="X28" i="3"/>
  <c r="V28" i="3"/>
  <c r="T28" i="3"/>
  <c r="R28" i="3"/>
  <c r="Y26" i="3"/>
  <c r="X26" i="3"/>
  <c r="V26" i="3"/>
  <c r="T26" i="3"/>
  <c r="R26" i="3"/>
  <c r="R24" i="3"/>
  <c r="R23" i="3"/>
  <c r="R21" i="3"/>
  <c r="T24" i="3"/>
  <c r="V24" i="3"/>
  <c r="X24" i="3"/>
  <c r="Y24" i="3"/>
  <c r="Y23" i="3"/>
  <c r="X23" i="3"/>
  <c r="V23" i="3"/>
  <c r="T23" i="3"/>
  <c r="Y21" i="3"/>
  <c r="X21" i="3"/>
  <c r="V21" i="3"/>
  <c r="T21" i="3"/>
  <c r="Y19" i="3"/>
  <c r="X19" i="3"/>
  <c r="V19" i="3"/>
  <c r="T19" i="3"/>
  <c r="R19" i="3"/>
  <c r="X18" i="3"/>
  <c r="Y18" i="3"/>
  <c r="V18" i="3"/>
  <c r="R18" i="3"/>
  <c r="T18" i="3"/>
  <c r="X16" i="3"/>
  <c r="Y16" i="3"/>
  <c r="V16" i="3"/>
  <c r="L113" i="3" s="1"/>
  <c r="R16" i="3"/>
  <c r="T16" i="3"/>
  <c r="X14" i="3"/>
  <c r="Y14" i="3"/>
  <c r="V14" i="3"/>
  <c r="R14" i="3"/>
  <c r="T14" i="3"/>
  <c r="X12" i="3"/>
  <c r="Y12" i="3"/>
  <c r="V12" i="3"/>
  <c r="R12" i="3"/>
  <c r="T12" i="3"/>
  <c r="G7" i="3"/>
  <c r="X10" i="3"/>
  <c r="Y10" i="3"/>
  <c r="V10" i="3"/>
  <c r="R10" i="3"/>
  <c r="T10" i="3"/>
  <c r="X8" i="3"/>
  <c r="Y8" i="3"/>
  <c r="V8" i="3"/>
  <c r="T8" i="3"/>
  <c r="R8" i="3"/>
  <c r="R7" i="3"/>
  <c r="R5" i="3"/>
  <c r="E16" i="3"/>
  <c r="E13" i="3"/>
  <c r="E14" i="3"/>
  <c r="E12" i="3"/>
  <c r="E10" i="3"/>
  <c r="E9" i="3"/>
  <c r="E7" i="3"/>
  <c r="E5" i="3"/>
  <c r="Y7" i="3"/>
  <c r="X7" i="3"/>
  <c r="V7" i="3"/>
  <c r="T7" i="3"/>
  <c r="X5" i="3"/>
  <c r="Y5" i="3"/>
  <c r="V5" i="3"/>
  <c r="T5" i="3"/>
  <c r="K16" i="3"/>
  <c r="L16" i="3"/>
  <c r="I16" i="3"/>
  <c r="G16" i="3"/>
  <c r="G14" i="3"/>
  <c r="I14" i="3"/>
  <c r="K14" i="3"/>
  <c r="L14" i="3"/>
  <c r="G13" i="3"/>
  <c r="I13" i="3"/>
  <c r="K13" i="3"/>
  <c r="L13" i="3"/>
  <c r="L12" i="3"/>
  <c r="K12" i="3"/>
  <c r="I12" i="3"/>
  <c r="G12" i="3"/>
  <c r="G10" i="3"/>
  <c r="I10" i="3"/>
  <c r="K10" i="3"/>
  <c r="L10" i="3"/>
  <c r="K9" i="3"/>
  <c r="L9" i="3"/>
  <c r="I9" i="3"/>
  <c r="G9" i="3"/>
  <c r="K7" i="3"/>
  <c r="L7" i="3"/>
  <c r="I7" i="3"/>
  <c r="K5" i="3"/>
  <c r="L5" i="3"/>
  <c r="I5" i="3"/>
  <c r="G5" i="3"/>
  <c r="DZ63" i="3"/>
  <c r="GA63" i="3"/>
  <c r="DZ62" i="3"/>
  <c r="GA62" i="3"/>
  <c r="FZ63" i="3"/>
  <c r="FZ62" i="3"/>
  <c r="DM64" i="3"/>
  <c r="DZ64" i="3"/>
  <c r="CM64" i="3"/>
  <c r="BM64" i="3"/>
  <c r="EZ64" i="3"/>
  <c r="EM64" i="3"/>
  <c r="BZ64" i="3"/>
  <c r="AZ64" i="3"/>
  <c r="AM64" i="3"/>
  <c r="FX62" i="3"/>
  <c r="GA64" i="3"/>
  <c r="FZ64" i="3"/>
  <c r="FY64" i="3"/>
  <c r="GC63" i="3"/>
  <c r="GC62" i="3"/>
  <c r="M64" i="3"/>
  <c r="FX64" i="3"/>
  <c r="GC64" i="3"/>
  <c r="GC44" i="3"/>
  <c r="GC46" i="3"/>
  <c r="GC43" i="3"/>
  <c r="GC45" i="3"/>
  <c r="DZ31" i="3"/>
  <c r="DZ29" i="3"/>
  <c r="DZ27" i="3"/>
  <c r="DZ25" i="3"/>
  <c r="DZ70" i="3" s="1"/>
  <c r="DZ23" i="3"/>
  <c r="DZ21" i="3"/>
  <c r="DZ75" i="3" s="1"/>
  <c r="GA75" i="3" s="1"/>
  <c r="EM15" i="3"/>
  <c r="DZ16" i="3"/>
  <c r="DZ83" i="3" s="1"/>
  <c r="EM13" i="3"/>
  <c r="EM82" i="3" s="1"/>
  <c r="EM11" i="3"/>
  <c r="EM71" i="3" s="1"/>
  <c r="DZ11" i="3"/>
  <c r="DZ69" i="3" s="1"/>
  <c r="GA69" i="3" s="1"/>
  <c r="EM9" i="3"/>
  <c r="EM73" i="3" s="1"/>
  <c r="DZ9" i="3"/>
  <c r="EZ7" i="3"/>
  <c r="EZ69" i="3" s="1"/>
  <c r="EM7" i="3"/>
  <c r="EM69" i="3" s="1"/>
  <c r="DZ7" i="3"/>
  <c r="EZ5" i="3"/>
  <c r="EZ73" i="3" s="1"/>
  <c r="DM29" i="3"/>
  <c r="DM27" i="3"/>
  <c r="DM74" i="3" s="1"/>
  <c r="DM25" i="3"/>
  <c r="DM23" i="3"/>
  <c r="DM82" i="3" s="1"/>
  <c r="DM15" i="3"/>
  <c r="DM13" i="3"/>
  <c r="DM76" i="3" s="1"/>
  <c r="DM11" i="3"/>
  <c r="DM10" i="3"/>
  <c r="DM9" i="3"/>
  <c r="DM73" i="3" s="1"/>
  <c r="CZ11" i="3"/>
  <c r="CZ9" i="3"/>
  <c r="CM7" i="3"/>
  <c r="CM84" i="3" s="1"/>
  <c r="FZ84" i="3" s="1"/>
  <c r="DM5" i="3"/>
  <c r="CZ7" i="3"/>
  <c r="CZ84" i="3" s="1"/>
  <c r="BM14" i="3"/>
  <c r="BM85" i="3" s="1"/>
  <c r="AZ10" i="3"/>
  <c r="AZ9" i="3"/>
  <c r="AZ7" i="3"/>
  <c r="AZ74" i="3" s="1"/>
  <c r="BZ5" i="3"/>
  <c r="BZ76" i="3" s="1"/>
  <c r="AZ5" i="3"/>
  <c r="AZ71" i="3" s="1"/>
  <c r="Z28" i="3"/>
  <c r="Z26" i="3"/>
  <c r="Z24" i="3"/>
  <c r="Z23" i="3"/>
  <c r="Z21" i="3"/>
  <c r="Z19" i="3"/>
  <c r="Z18" i="3"/>
  <c r="Z16" i="3"/>
  <c r="M16" i="3"/>
  <c r="Z14" i="3"/>
  <c r="M14" i="3"/>
  <c r="M13" i="3"/>
  <c r="Z12" i="3"/>
  <c r="M12" i="3"/>
  <c r="AM11" i="3"/>
  <c r="AM71" i="3" s="1"/>
  <c r="Z10" i="3"/>
  <c r="Z81" i="3" s="1"/>
  <c r="M10" i="3"/>
  <c r="AM9" i="3"/>
  <c r="AM81" i="3" s="1"/>
  <c r="M9" i="3"/>
  <c r="Z8" i="3"/>
  <c r="AM7" i="3"/>
  <c r="AM82" i="3" s="1"/>
  <c r="Z7" i="3"/>
  <c r="M7" i="3"/>
  <c r="M77" i="3" s="1"/>
  <c r="FX77" i="3" s="1"/>
  <c r="GC77" i="3" s="1"/>
  <c r="AM5" i="3"/>
  <c r="AM86" i="3" s="1"/>
  <c r="Z5" i="3"/>
  <c r="Z69" i="3" s="1"/>
  <c r="GA51" i="3"/>
  <c r="GC51" i="3"/>
  <c r="GA49" i="3"/>
  <c r="GC49" i="3"/>
  <c r="GA47" i="3"/>
  <c r="GC47" i="3"/>
  <c r="GA60" i="3"/>
  <c r="GC60" i="3"/>
  <c r="GA61" i="3"/>
  <c r="GC61" i="3"/>
  <c r="AH219" i="1"/>
  <c r="AB7" i="2" s="1"/>
  <c r="AC7" i="2"/>
  <c r="AG219" i="1"/>
  <c r="AA7" i="2" s="1"/>
  <c r="Z7" i="2"/>
  <c r="AA220" i="1"/>
  <c r="AG7" i="2" s="1"/>
  <c r="AA219" i="1"/>
  <c r="AF7" i="2" s="1"/>
  <c r="AA218" i="1"/>
  <c r="AE7" i="2" s="1"/>
  <c r="AD7" i="2"/>
  <c r="M7" i="2"/>
  <c r="W7" i="2" s="1"/>
  <c r="G7" i="2"/>
  <c r="V7" i="2" s="1"/>
  <c r="S220" i="1"/>
  <c r="AA236" i="1"/>
  <c r="AE8" i="2" s="1"/>
  <c r="AE13" i="2"/>
  <c r="AA512" i="1"/>
  <c r="AE12" i="2" s="1"/>
  <c r="V512" i="1"/>
  <c r="AA497" i="1"/>
  <c r="AE11" i="2" s="1"/>
  <c r="U79" i="1"/>
  <c r="U236" i="1"/>
  <c r="U360" i="1"/>
  <c r="AA482" i="1"/>
  <c r="AE10" i="2" s="1"/>
  <c r="AA360" i="1"/>
  <c r="AE9" i="2" s="1"/>
  <c r="AE6" i="2"/>
  <c r="AA120" i="1"/>
  <c r="AE5" i="2" s="1"/>
  <c r="AE4" i="2"/>
  <c r="U78" i="1"/>
  <c r="AA78" i="1"/>
  <c r="AF4" i="2" s="1"/>
  <c r="AG78" i="1"/>
  <c r="AA4" i="2" s="1"/>
  <c r="AH78" i="1"/>
  <c r="AB4" i="2" s="1"/>
  <c r="N7" i="2"/>
  <c r="H7" i="2"/>
  <c r="AA79" i="1"/>
  <c r="AG4" i="2" s="1"/>
  <c r="AA122" i="1"/>
  <c r="AG5" i="2" s="1"/>
  <c r="AG6" i="2"/>
  <c r="AF6" i="2"/>
  <c r="AA238" i="1"/>
  <c r="AG8" i="2" s="1"/>
  <c r="AA237" i="1"/>
  <c r="AF8" i="2" s="1"/>
  <c r="AA223" i="1"/>
  <c r="AD8" i="2" s="1"/>
  <c r="AA362" i="1"/>
  <c r="AG9" i="2" s="1"/>
  <c r="AA361" i="1"/>
  <c r="AF9" i="2" s="1"/>
  <c r="AA359" i="1"/>
  <c r="AD9" i="2" s="1"/>
  <c r="AG13" i="2"/>
  <c r="AA514" i="1"/>
  <c r="AG12" i="2" s="1"/>
  <c r="AA484" i="1"/>
  <c r="AG10" i="2" s="1"/>
  <c r="AA499" i="1"/>
  <c r="AG11" i="2" s="1"/>
  <c r="AA483" i="1"/>
  <c r="AF10" i="2" s="1"/>
  <c r="AD10" i="2"/>
  <c r="AA498" i="1"/>
  <c r="AF11" i="2" s="1"/>
  <c r="AA496" i="1"/>
  <c r="AD11" i="2" s="1"/>
  <c r="AA513" i="1"/>
  <c r="AF12" i="2" s="1"/>
  <c r="AA511" i="1"/>
  <c r="AD12" i="2" s="1"/>
  <c r="AF13" i="2"/>
  <c r="AD13" i="2"/>
  <c r="AA121" i="1"/>
  <c r="AF5" i="2" s="1"/>
  <c r="AA119" i="1"/>
  <c r="AD5" i="2" s="1"/>
  <c r="AB13" i="2"/>
  <c r="AC13" i="2"/>
  <c r="AA13" i="2"/>
  <c r="Z13" i="2"/>
  <c r="AH513" i="1"/>
  <c r="AB12" i="2" s="1"/>
  <c r="AH511" i="1"/>
  <c r="AC12" i="2" s="1"/>
  <c r="AG513" i="1"/>
  <c r="AA12" i="2" s="1"/>
  <c r="AG511" i="1"/>
  <c r="Z12" i="2" s="1"/>
  <c r="AH498" i="1"/>
  <c r="AB11" i="2" s="1"/>
  <c r="AH496" i="1"/>
  <c r="AC11" i="2" s="1"/>
  <c r="AG498" i="1"/>
  <c r="AA11" i="2" s="1"/>
  <c r="AG496" i="1"/>
  <c r="Z11" i="2" s="1"/>
  <c r="AH483" i="1"/>
  <c r="AB10" i="2" s="1"/>
  <c r="AC10" i="2"/>
  <c r="AG483" i="1"/>
  <c r="AA10" i="2" s="1"/>
  <c r="Z10" i="2"/>
  <c r="AH361" i="1"/>
  <c r="AB9" i="2" s="1"/>
  <c r="AH359" i="1"/>
  <c r="AC9" i="2" s="1"/>
  <c r="AG361" i="1"/>
  <c r="AA9" i="2" s="1"/>
  <c r="AG121" i="1"/>
  <c r="AA5" i="2" s="1"/>
  <c r="AG237" i="1"/>
  <c r="AA8" i="2" s="1"/>
  <c r="AG359" i="1"/>
  <c r="Z9" i="2" s="1"/>
  <c r="AH237" i="1"/>
  <c r="AB8" i="2" s="1"/>
  <c r="AC8" i="2"/>
  <c r="Z8" i="2"/>
  <c r="AH121" i="1"/>
  <c r="AB5" i="2" s="1"/>
  <c r="AH119" i="1"/>
  <c r="AC5" i="2" s="1"/>
  <c r="AG119" i="1"/>
  <c r="Z5" i="2" s="1"/>
  <c r="H12" i="2"/>
  <c r="Y12" i="2" s="1"/>
  <c r="F13" i="2"/>
  <c r="V514" i="1"/>
  <c r="S514" i="1"/>
  <c r="S484" i="1"/>
  <c r="U485" i="1"/>
  <c r="V485" i="1"/>
  <c r="M10" i="2" s="1"/>
  <c r="W10" i="2" s="1"/>
  <c r="U362" i="1"/>
  <c r="U238" i="1"/>
  <c r="S238" i="1"/>
  <c r="U80" i="1"/>
  <c r="L520" i="1"/>
  <c r="L519" i="1"/>
  <c r="L517" i="1"/>
  <c r="J17" i="1"/>
  <c r="J15" i="1"/>
  <c r="J12" i="1"/>
  <c r="U363" i="1"/>
  <c r="V515" i="1"/>
  <c r="V513" i="1"/>
  <c r="V511" i="1"/>
  <c r="U515" i="1"/>
  <c r="S511" i="1"/>
  <c r="S513" i="1"/>
  <c r="J450" i="1"/>
  <c r="J519" i="1"/>
  <c r="J154" i="1"/>
  <c r="H11" i="2"/>
  <c r="J494" i="1"/>
  <c r="EZ9" i="3"/>
  <c r="EZ72" i="3" s="1"/>
  <c r="EZ10" i="3"/>
  <c r="EM5" i="3"/>
  <c r="EM17" i="3"/>
  <c r="DZ18" i="3"/>
  <c r="DZ19" i="3"/>
  <c r="EM18" i="3"/>
  <c r="CZ27" i="3"/>
  <c r="BZ7" i="3"/>
  <c r="BZ8" i="3"/>
  <c r="DM21" i="3"/>
  <c r="CM8" i="3"/>
  <c r="GA50" i="3"/>
  <c r="GC50" i="3"/>
  <c r="J378" i="1"/>
  <c r="K378" i="1" s="1"/>
  <c r="L378" i="1" s="1"/>
  <c r="J377" i="1"/>
  <c r="K377" i="1" s="1"/>
  <c r="L377" i="1" s="1"/>
  <c r="J365" i="1"/>
  <c r="K365" i="1" s="1"/>
  <c r="L365" i="1" s="1"/>
  <c r="J366" i="1"/>
  <c r="K366" i="1" s="1"/>
  <c r="L366" i="1" s="1"/>
  <c r="J367" i="1"/>
  <c r="K367" i="1" s="1"/>
  <c r="L367" i="1" s="1"/>
  <c r="J370" i="1"/>
  <c r="K370" i="1" s="1"/>
  <c r="L370" i="1" s="1"/>
  <c r="J368" i="1"/>
  <c r="K368" i="1" s="1"/>
  <c r="L368" i="1" s="1"/>
  <c r="J371" i="1"/>
  <c r="K371" i="1" s="1"/>
  <c r="L371" i="1" s="1"/>
  <c r="J369" i="1"/>
  <c r="K369" i="1" s="1"/>
  <c r="L369" i="1" s="1"/>
  <c r="J372" i="1"/>
  <c r="K372" i="1" s="1"/>
  <c r="L372" i="1" s="1"/>
  <c r="J376" i="1"/>
  <c r="J364" i="1"/>
  <c r="K364" i="1" s="1"/>
  <c r="L364" i="1" s="1"/>
  <c r="N9" i="2"/>
  <c r="Y9" i="2" s="1"/>
  <c r="U361" i="1"/>
  <c r="U359" i="1"/>
  <c r="S359" i="1"/>
  <c r="J176" i="1"/>
  <c r="J155" i="1"/>
  <c r="J151" i="1"/>
  <c r="J431" i="1"/>
  <c r="J428" i="1"/>
  <c r="J448" i="1"/>
  <c r="J447" i="1"/>
  <c r="J445" i="1"/>
  <c r="S361" i="1"/>
  <c r="J520" i="1"/>
  <c r="J516" i="1"/>
  <c r="J11" i="1"/>
  <c r="N11" i="2"/>
  <c r="N10" i="2"/>
  <c r="H13" i="2"/>
  <c r="Y13" i="2" s="1"/>
  <c r="H10" i="2"/>
  <c r="E13" i="2"/>
  <c r="C13" i="2"/>
  <c r="U237" i="1"/>
  <c r="V239" i="1"/>
  <c r="M8" i="2" s="1"/>
  <c r="U239" i="1"/>
  <c r="S483" i="1"/>
  <c r="V500" i="1"/>
  <c r="M11" i="2" s="1"/>
  <c r="W11" i="2" s="1"/>
  <c r="U500" i="1"/>
  <c r="S498" i="1"/>
  <c r="U14" i="2"/>
  <c r="S237" i="1"/>
  <c r="O14" i="2"/>
  <c r="R14" i="2"/>
  <c r="S14" i="2"/>
  <c r="P14" i="2"/>
  <c r="Q14" i="2"/>
  <c r="T14" i="2"/>
  <c r="V360" i="1"/>
  <c r="J9" i="2" s="1"/>
  <c r="V362" i="1"/>
  <c r="L9" i="2" s="1"/>
  <c r="G13" i="2"/>
  <c r="X13" i="2" s="1"/>
  <c r="DM7" i="3"/>
  <c r="BM7" i="3"/>
  <c r="BM12" i="3"/>
  <c r="BM8" i="3"/>
  <c r="CM12" i="3"/>
  <c r="CM20" i="3"/>
  <c r="CZ13" i="3"/>
  <c r="CZ26" i="3"/>
  <c r="DM20" i="3"/>
  <c r="T251" i="1"/>
  <c r="V363" i="1"/>
  <c r="M9" i="2" s="1"/>
  <c r="W9" i="2" s="1"/>
  <c r="V359" i="1"/>
  <c r="I9" i="2" s="1"/>
  <c r="DZ5" i="3"/>
  <c r="S217" i="1" l="1"/>
  <c r="S146" i="1"/>
  <c r="S150" i="1" s="1"/>
  <c r="BD361" i="1"/>
  <c r="BD78" i="1"/>
  <c r="BD80" i="1"/>
  <c r="BD483" i="1"/>
  <c r="BD238" i="1"/>
  <c r="BD237" i="1"/>
  <c r="BD239" i="1"/>
  <c r="BD236" i="1"/>
  <c r="BD79" i="1"/>
  <c r="BD485" i="1"/>
  <c r="BD121" i="1"/>
  <c r="BD220" i="1"/>
  <c r="BD499" i="1"/>
  <c r="BD359" i="1"/>
  <c r="BD123" i="1"/>
  <c r="BD122" i="1"/>
  <c r="BD360" i="1"/>
  <c r="BD482" i="1"/>
  <c r="BD362" i="1"/>
  <c r="BD515" i="1"/>
  <c r="BD497" i="1"/>
  <c r="BD484" i="1"/>
  <c r="BD496" i="1"/>
  <c r="BD511" i="1"/>
  <c r="BD119" i="1"/>
  <c r="BD218" i="1"/>
  <c r="BD512" i="1"/>
  <c r="BD500" i="1"/>
  <c r="BD120" i="1"/>
  <c r="BD219" i="1"/>
  <c r="BD498" i="1"/>
  <c r="BD513" i="1"/>
  <c r="BD363" i="1"/>
  <c r="BD514" i="1"/>
  <c r="AQ46" i="8"/>
  <c r="AR46" i="8" s="1"/>
  <c r="AR4" i="8"/>
  <c r="P4" i="8"/>
  <c r="P46" i="8" s="1"/>
  <c r="K5" i="4"/>
  <c r="K19" i="4"/>
  <c r="AL9" i="4"/>
  <c r="AV103" i="3"/>
  <c r="M84" i="3"/>
  <c r="FX84" i="3" s="1"/>
  <c r="GC84" i="3" s="1"/>
  <c r="AC5" i="4"/>
  <c r="AQ105" i="3"/>
  <c r="AR105" i="3"/>
  <c r="AS9" i="4"/>
  <c r="CZ75" i="3"/>
  <c r="FZ75" i="3" s="1"/>
  <c r="AM9" i="4"/>
  <c r="E7" i="2"/>
  <c r="F7" i="2"/>
  <c r="V13" i="2"/>
  <c r="O5" i="4"/>
  <c r="EZ86" i="3"/>
  <c r="CZ69" i="3"/>
  <c r="T113" i="3"/>
  <c r="AB11" i="4"/>
  <c r="AP99" i="3"/>
  <c r="AO105" i="3"/>
  <c r="R19" i="4"/>
  <c r="AM103" i="3"/>
  <c r="AO11" i="4"/>
  <c r="AN9" i="4"/>
  <c r="Q19" i="4"/>
  <c r="EZ84" i="3"/>
  <c r="AU105" i="3"/>
  <c r="AR9" i="4"/>
  <c r="AI5" i="4"/>
  <c r="M86" i="3"/>
  <c r="FX86" i="3" s="1"/>
  <c r="GC86" i="3" s="1"/>
  <c r="AJ11" i="4"/>
  <c r="AT105" i="3"/>
  <c r="U113" i="3"/>
  <c r="AJ99" i="3"/>
  <c r="R99" i="3"/>
  <c r="AP103" i="3"/>
  <c r="AN5" i="4"/>
  <c r="AC99" i="3"/>
  <c r="AM84" i="3"/>
  <c r="U99" i="3"/>
  <c r="T99" i="3"/>
  <c r="R5" i="4"/>
  <c r="M99" i="3"/>
  <c r="M5" i="4"/>
  <c r="Q5" i="4"/>
  <c r="L67" i="3"/>
  <c r="FG67" i="3" s="1"/>
  <c r="BM69" i="3"/>
  <c r="FY69" i="3" s="1"/>
  <c r="W5" i="4"/>
  <c r="DM71" i="3"/>
  <c r="L5" i="4"/>
  <c r="K67" i="3"/>
  <c r="FF67" i="3" s="1"/>
  <c r="S5" i="4"/>
  <c r="AF99" i="3"/>
  <c r="AQ9" i="4"/>
  <c r="AF5" i="4"/>
  <c r="AK103" i="3"/>
  <c r="AH11" i="4"/>
  <c r="O99" i="3"/>
  <c r="AM5" i="4"/>
  <c r="AI99" i="3"/>
  <c r="AQ99" i="3"/>
  <c r="AM11" i="4"/>
  <c r="S19" i="4"/>
  <c r="AP9" i="4"/>
  <c r="CM69" i="3"/>
  <c r="FZ69" i="3" s="1"/>
  <c r="M85" i="3"/>
  <c r="FX85" i="3" s="1"/>
  <c r="GC85" i="3" s="1"/>
  <c r="M113" i="3"/>
  <c r="AL103" i="3"/>
  <c r="AM69" i="3"/>
  <c r="O113" i="3"/>
  <c r="L19" i="4"/>
  <c r="X7" i="2"/>
  <c r="N113" i="3"/>
  <c r="K107" i="3"/>
  <c r="X5" i="4"/>
  <c r="AE103" i="3"/>
  <c r="AH5" i="4"/>
  <c r="AH9" i="4"/>
  <c r="AQ103" i="3"/>
  <c r="ES42" i="3"/>
  <c r="EX67" i="3"/>
  <c r="AK99" i="3"/>
  <c r="AO99" i="3"/>
  <c r="AP5" i="4"/>
  <c r="AJ111" i="3"/>
  <c r="AE99" i="3"/>
  <c r="AK9" i="4"/>
  <c r="AQ5" i="4"/>
  <c r="AS105" i="3"/>
  <c r="AK105" i="3"/>
  <c r="AO5" i="4"/>
  <c r="AR11" i="4"/>
  <c r="AF9" i="4"/>
  <c r="Y17" i="4"/>
  <c r="V5" i="4"/>
  <c r="Z86" i="3"/>
  <c r="AN99" i="3"/>
  <c r="AV99" i="3"/>
  <c r="AR5" i="4"/>
  <c r="Q113" i="3"/>
  <c r="EY67" i="3"/>
  <c r="AU103" i="3"/>
  <c r="AG5" i="4"/>
  <c r="Z84" i="3"/>
  <c r="AM99" i="3"/>
  <c r="AK5" i="4"/>
  <c r="AL11" i="4"/>
  <c r="AR99" i="3"/>
  <c r="AO9" i="4"/>
  <c r="AP11" i="4"/>
  <c r="AS99" i="3"/>
  <c r="AD99" i="3"/>
  <c r="AT103" i="3"/>
  <c r="AL5" i="4"/>
  <c r="AS103" i="3"/>
  <c r="Z99" i="3"/>
  <c r="AE5" i="4"/>
  <c r="AT99" i="3"/>
  <c r="AN105" i="3"/>
  <c r="AN11" i="4"/>
  <c r="AH99" i="3"/>
  <c r="AU99" i="3"/>
  <c r="Q99" i="3"/>
  <c r="AR103" i="3"/>
  <c r="Z5" i="4"/>
  <c r="EM86" i="3"/>
  <c r="ER39" i="3"/>
  <c r="AL105" i="3"/>
  <c r="AE111" i="3"/>
  <c r="Y99" i="3"/>
  <c r="AS11" i="4"/>
  <c r="AS5" i="4"/>
  <c r="AD5" i="4"/>
  <c r="AI11" i="4"/>
  <c r="AN103" i="3"/>
  <c r="AI9" i="4"/>
  <c r="AJ5" i="4"/>
  <c r="BM84" i="3"/>
  <c r="AO103" i="3"/>
  <c r="CZ71" i="3"/>
  <c r="FZ71" i="3" s="1"/>
  <c r="N19" i="4"/>
  <c r="AJ9" i="4"/>
  <c r="AB99" i="3"/>
  <c r="Y5" i="4"/>
  <c r="AL99" i="3"/>
  <c r="DM84" i="3"/>
  <c r="ET66" i="3"/>
  <c r="P113" i="3"/>
  <c r="AA99" i="3"/>
  <c r="AG99" i="3"/>
  <c r="P5" i="4"/>
  <c r="AM105" i="3"/>
  <c r="O19" i="4"/>
  <c r="EU68" i="3"/>
  <c r="AA5" i="4"/>
  <c r="AB5" i="4"/>
  <c r="AQ11" i="4"/>
  <c r="P99" i="3"/>
  <c r="P19" i="4"/>
  <c r="I65" i="3"/>
  <c r="FE65" i="3" s="1"/>
  <c r="FE69" i="3" s="1"/>
  <c r="EV65" i="3"/>
  <c r="CM86" i="3"/>
  <c r="FZ86" i="3" s="1"/>
  <c r="AJ105" i="3"/>
  <c r="F12" i="2"/>
  <c r="C7" i="2"/>
  <c r="F10" i="2"/>
  <c r="F11" i="2"/>
  <c r="G12" i="2"/>
  <c r="V12" i="2" s="1"/>
  <c r="C11" i="2"/>
  <c r="C10" i="2"/>
  <c r="D11" i="2"/>
  <c r="E11" i="2"/>
  <c r="H113" i="3"/>
  <c r="D106" i="3"/>
  <c r="AO15" i="4"/>
  <c r="P10" i="4"/>
  <c r="K111" i="3"/>
  <c r="BU44" i="3"/>
  <c r="AM18" i="4"/>
  <c r="AB9" i="4"/>
  <c r="K112" i="3"/>
  <c r="G113" i="3"/>
  <c r="AG46" i="3"/>
  <c r="L7" i="4"/>
  <c r="CM77" i="3"/>
  <c r="AC17" i="4"/>
  <c r="AE11" i="4"/>
  <c r="V17" i="4"/>
  <c r="Z9" i="4"/>
  <c r="AB6" i="4"/>
  <c r="AB104" i="3"/>
  <c r="DX65" i="3"/>
  <c r="W6" i="4"/>
  <c r="J106" i="3"/>
  <c r="EX65" i="3"/>
  <c r="AP109" i="3"/>
  <c r="FZ70" i="3"/>
  <c r="ER40" i="3"/>
  <c r="AB100" i="3"/>
  <c r="AQ15" i="4"/>
  <c r="EM84" i="3"/>
  <c r="AC6" i="4"/>
  <c r="G104" i="3"/>
  <c r="E13" i="4"/>
  <c r="I111" i="3"/>
  <c r="AS7" i="4"/>
  <c r="AR107" i="3"/>
  <c r="AS101" i="3"/>
  <c r="AG104" i="3"/>
  <c r="AP113" i="3"/>
  <c r="FY77" i="3"/>
  <c r="AI18" i="4"/>
  <c r="AJ17" i="4"/>
  <c r="AH104" i="3"/>
  <c r="EV44" i="3"/>
  <c r="R112" i="3"/>
  <c r="AL6" i="4"/>
  <c r="FY74" i="3"/>
  <c r="AT113" i="3"/>
  <c r="FY80" i="3"/>
  <c r="Z108" i="3"/>
  <c r="P18" i="4"/>
  <c r="BR40" i="3"/>
  <c r="AM107" i="3"/>
  <c r="Q112" i="3"/>
  <c r="AJ110" i="3"/>
  <c r="P6" i="4"/>
  <c r="AC18" i="4"/>
  <c r="Z112" i="3"/>
  <c r="AG11" i="4"/>
  <c r="AN107" i="3"/>
  <c r="Z10" i="4"/>
  <c r="AJ13" i="4"/>
  <c r="Y7" i="2"/>
  <c r="AI13" i="4"/>
  <c r="AU106" i="3"/>
  <c r="AH105" i="3"/>
  <c r="AI17" i="4"/>
  <c r="EY43" i="3"/>
  <c r="AF11" i="4"/>
  <c r="G17" i="4"/>
  <c r="AI101" i="3"/>
  <c r="I14" i="2"/>
  <c r="AZ84" i="3"/>
  <c r="Z111" i="3"/>
  <c r="EU44" i="3"/>
  <c r="AI105" i="3"/>
  <c r="EY46" i="3"/>
  <c r="EV67" i="3"/>
  <c r="EV46" i="3"/>
  <c r="AC103" i="3"/>
  <c r="AE100" i="3"/>
  <c r="Y10" i="2"/>
  <c r="FY75" i="3"/>
  <c r="EY68" i="3"/>
  <c r="Y13" i="4"/>
  <c r="DU43" i="3"/>
  <c r="I13" i="4"/>
  <c r="AC9" i="4"/>
  <c r="EY65" i="3"/>
  <c r="AD6" i="4"/>
  <c r="AM111" i="3"/>
  <c r="EG66" i="3"/>
  <c r="EL46" i="3"/>
  <c r="AN19" i="4"/>
  <c r="AS18" i="4"/>
  <c r="AA111" i="3"/>
  <c r="AG100" i="3"/>
  <c r="W14" i="4"/>
  <c r="X14" i="4"/>
  <c r="AF104" i="3"/>
  <c r="L107" i="3"/>
  <c r="AB111" i="3"/>
  <c r="O108" i="3"/>
  <c r="J5" i="4"/>
  <c r="AB18" i="4"/>
  <c r="CX44" i="3"/>
  <c r="AQ7" i="4"/>
  <c r="AO18" i="4"/>
  <c r="FX82" i="3"/>
  <c r="AL44" i="3"/>
  <c r="AK46" i="3"/>
  <c r="BL46" i="3"/>
  <c r="BT43" i="3"/>
  <c r="DH68" i="3"/>
  <c r="G106" i="3"/>
  <c r="CU46" i="3"/>
  <c r="EX68" i="3"/>
  <c r="AM13" i="4"/>
  <c r="AF103" i="3"/>
  <c r="AD103" i="3"/>
  <c r="EM85" i="3"/>
  <c r="G45" i="3"/>
  <c r="BK65" i="3"/>
  <c r="DU44" i="3"/>
  <c r="AN13" i="4"/>
  <c r="EG65" i="3"/>
  <c r="AG110" i="3"/>
  <c r="B12" i="4"/>
  <c r="AD111" i="3"/>
  <c r="W16" i="4"/>
  <c r="F106" i="3"/>
  <c r="AC6" i="2"/>
  <c r="AC14" i="2" s="1"/>
  <c r="AJ103" i="3"/>
  <c r="BF42" i="3"/>
  <c r="F13" i="4"/>
  <c r="Z17" i="4"/>
  <c r="X65" i="3"/>
  <c r="AQ112" i="3"/>
  <c r="AA108" i="3"/>
  <c r="AO102" i="3"/>
  <c r="BM72" i="3"/>
  <c r="EU45" i="3"/>
  <c r="H107" i="3"/>
  <c r="AD9" i="4"/>
  <c r="AN112" i="3"/>
  <c r="AE110" i="3"/>
  <c r="I18" i="4"/>
  <c r="AC10" i="4"/>
  <c r="Y100" i="3"/>
  <c r="DM83" i="3"/>
  <c r="FZ83" i="3" s="1"/>
  <c r="AQ102" i="3"/>
  <c r="EU66" i="3"/>
  <c r="J99" i="3"/>
  <c r="J115" i="3" s="1"/>
  <c r="J116" i="3" s="1"/>
  <c r="AS19" i="4"/>
  <c r="I107" i="3"/>
  <c r="AG9" i="4"/>
  <c r="X6" i="4"/>
  <c r="S42" i="3"/>
  <c r="DV44" i="3"/>
  <c r="FX75" i="3"/>
  <c r="CM74" i="3"/>
  <c r="FZ74" i="3" s="1"/>
  <c r="AJ104" i="3"/>
  <c r="AH66" i="3"/>
  <c r="H111" i="3"/>
  <c r="Z74" i="3"/>
  <c r="K65" i="3"/>
  <c r="G13" i="4"/>
  <c r="C5" i="4"/>
  <c r="N101" i="3"/>
  <c r="R100" i="3"/>
  <c r="AL107" i="3"/>
  <c r="AH100" i="3"/>
  <c r="BH68" i="3"/>
  <c r="S111" i="3"/>
  <c r="AK7" i="4"/>
  <c r="EI44" i="3"/>
  <c r="EH67" i="3"/>
  <c r="FY73" i="3"/>
  <c r="FZ76" i="3"/>
  <c r="GA80" i="3"/>
  <c r="E12" i="4"/>
  <c r="CG43" i="3"/>
  <c r="EG67" i="3"/>
  <c r="AK18" i="4"/>
  <c r="F104" i="3"/>
  <c r="J7" i="4"/>
  <c r="CX45" i="3"/>
  <c r="BT45" i="3"/>
  <c r="ET68" i="3"/>
  <c r="AG13" i="4"/>
  <c r="AB101" i="3"/>
  <c r="L8" i="4"/>
  <c r="AI103" i="3"/>
  <c r="AM15" i="4"/>
  <c r="AB108" i="3"/>
  <c r="BT66" i="3"/>
  <c r="AC16" i="4"/>
  <c r="AC100" i="3"/>
  <c r="AM6" i="4"/>
  <c r="BU46" i="3"/>
  <c r="AJ112" i="3"/>
  <c r="EK45" i="3"/>
  <c r="V10" i="4"/>
  <c r="P109" i="3"/>
  <c r="BY65" i="3"/>
  <c r="CR39" i="3"/>
  <c r="CX46" i="3"/>
  <c r="Z101" i="3"/>
  <c r="E10" i="4"/>
  <c r="W8" i="2"/>
  <c r="X8" i="2"/>
  <c r="DZ76" i="3"/>
  <c r="GA76" i="3" s="1"/>
  <c r="BT46" i="3"/>
  <c r="M14" i="4"/>
  <c r="E99" i="3"/>
  <c r="K45" i="3"/>
  <c r="CL68" i="3"/>
  <c r="CL43" i="3"/>
  <c r="AE7" i="4"/>
  <c r="AF7" i="4"/>
  <c r="AD7" i="4"/>
  <c r="AB16" i="4"/>
  <c r="AP15" i="4"/>
  <c r="AV109" i="3"/>
  <c r="AT109" i="3"/>
  <c r="AM112" i="3"/>
  <c r="AJ18" i="4"/>
  <c r="DZ72" i="3"/>
  <c r="DZ84" i="3"/>
  <c r="GA84" i="3" s="1"/>
  <c r="DU65" i="3"/>
  <c r="AD11" i="4"/>
  <c r="Y10" i="4"/>
  <c r="AE9" i="4"/>
  <c r="EL44" i="3"/>
  <c r="B5" i="4"/>
  <c r="AA9" i="4"/>
  <c r="L43" i="3"/>
  <c r="D104" i="3"/>
  <c r="AY67" i="3"/>
  <c r="AF106" i="3"/>
  <c r="AC106" i="3"/>
  <c r="Z12" i="4"/>
  <c r="CV65" i="3"/>
  <c r="AD13" i="4"/>
  <c r="AG107" i="3"/>
  <c r="AE13" i="4"/>
  <c r="AJ107" i="3"/>
  <c r="EK46" i="3"/>
  <c r="EK66" i="3"/>
  <c r="EX46" i="3"/>
  <c r="EX43" i="3"/>
  <c r="AK19" i="4"/>
  <c r="AL113" i="3"/>
  <c r="Y5" i="2"/>
  <c r="S360" i="1"/>
  <c r="AI111" i="3"/>
  <c r="AF17" i="4"/>
  <c r="CI45" i="3"/>
  <c r="Q101" i="3"/>
  <c r="AN8" i="4"/>
  <c r="AE17" i="4"/>
  <c r="Y16" i="4"/>
  <c r="M74" i="3"/>
  <c r="K99" i="3"/>
  <c r="I66" i="3"/>
  <c r="I68" i="3"/>
  <c r="L104" i="3"/>
  <c r="L101" i="3"/>
  <c r="BS41" i="3"/>
  <c r="BR39" i="3"/>
  <c r="Y11" i="4"/>
  <c r="Z105" i="3"/>
  <c r="DK68" i="3"/>
  <c r="DK45" i="3"/>
  <c r="DH45" i="3"/>
  <c r="U109" i="3"/>
  <c r="H65" i="3"/>
  <c r="FD65" i="3" s="1"/>
  <c r="FD69" i="3" s="1"/>
  <c r="G5" i="4"/>
  <c r="DT43" i="3"/>
  <c r="F5" i="4"/>
  <c r="AG105" i="3"/>
  <c r="AI112" i="3"/>
  <c r="AU68" i="3"/>
  <c r="G12" i="4"/>
  <c r="AD110" i="3"/>
  <c r="AN7" i="4"/>
  <c r="T109" i="3"/>
  <c r="AP106" i="3"/>
  <c r="AO106" i="3"/>
  <c r="AR106" i="3"/>
  <c r="AE6" i="4"/>
  <c r="AG6" i="4"/>
  <c r="ET65" i="3"/>
  <c r="DT67" i="3"/>
  <c r="CG66" i="3"/>
  <c r="AA112" i="3"/>
  <c r="AC105" i="3"/>
  <c r="EG68" i="3"/>
  <c r="EX66" i="3"/>
  <c r="AA16" i="4"/>
  <c r="C12" i="4"/>
  <c r="DM77" i="3"/>
  <c r="DM85" i="3"/>
  <c r="L106" i="3"/>
  <c r="I12" i="4"/>
  <c r="BT65" i="3"/>
  <c r="AJ6" i="4"/>
  <c r="AM100" i="3"/>
  <c r="AA8" i="4"/>
  <c r="DZ86" i="3"/>
  <c r="GA86" i="3" s="1"/>
  <c r="AH7" i="4"/>
  <c r="AA12" i="4"/>
  <c r="AZ79" i="3"/>
  <c r="FY79" i="3" s="1"/>
  <c r="EV45" i="3"/>
  <c r="V12" i="4"/>
  <c r="Y7" i="4"/>
  <c r="W7" i="4"/>
  <c r="R111" i="3"/>
  <c r="P111" i="3"/>
  <c r="W18" i="4"/>
  <c r="AG7" i="4"/>
  <c r="DY45" i="3"/>
  <c r="AL111" i="3"/>
  <c r="AN111" i="3"/>
  <c r="AF14" i="4"/>
  <c r="AC104" i="3"/>
  <c r="AE104" i="3"/>
  <c r="DT65" i="3"/>
  <c r="O104" i="3"/>
  <c r="M104" i="3"/>
  <c r="L10" i="4"/>
  <c r="AQ101" i="3"/>
  <c r="AP101" i="3"/>
  <c r="AN101" i="3"/>
  <c r="AS17" i="4"/>
  <c r="AR17" i="4"/>
  <c r="AP17" i="4"/>
  <c r="AT66" i="3"/>
  <c r="AR101" i="3"/>
  <c r="AU111" i="3"/>
  <c r="AS111" i="3"/>
  <c r="EI67" i="3"/>
  <c r="D99" i="3"/>
  <c r="D115" i="3" s="1"/>
  <c r="D116" i="3" s="1"/>
  <c r="F113" i="3"/>
  <c r="D5" i="4"/>
  <c r="F107" i="3"/>
  <c r="C13" i="4"/>
  <c r="I19" i="4"/>
  <c r="H19" i="4"/>
  <c r="AE39" i="3"/>
  <c r="AD12" i="4"/>
  <c r="AE12" i="4"/>
  <c r="AF12" i="4"/>
  <c r="AG106" i="3"/>
  <c r="EK43" i="3"/>
  <c r="EL45" i="3"/>
  <c r="EL65" i="3"/>
  <c r="CX67" i="3"/>
  <c r="AD106" i="3"/>
  <c r="AH106" i="3"/>
  <c r="EX44" i="3"/>
  <c r="AA105" i="3"/>
  <c r="ES41" i="3"/>
  <c r="EV43" i="3"/>
  <c r="G99" i="3"/>
  <c r="G115" i="3" s="1"/>
  <c r="G116" i="3" s="1"/>
  <c r="AS107" i="3"/>
  <c r="AS13" i="4"/>
  <c r="AT107" i="3"/>
  <c r="CX66" i="3"/>
  <c r="DX45" i="3"/>
  <c r="AC14" i="4"/>
  <c r="Z14" i="4"/>
  <c r="AD108" i="3"/>
  <c r="AA14" i="4"/>
  <c r="CI67" i="3"/>
  <c r="CI68" i="3"/>
  <c r="W10" i="4"/>
  <c r="Y104" i="3"/>
  <c r="AL8" i="4"/>
  <c r="EL68" i="3"/>
  <c r="AU107" i="3"/>
  <c r="AB12" i="4"/>
  <c r="CG46" i="3"/>
  <c r="S109" i="3"/>
  <c r="AL112" i="3"/>
  <c r="EX45" i="3"/>
  <c r="EL67" i="3"/>
  <c r="V13" i="4"/>
  <c r="AI43" i="3"/>
  <c r="F111" i="3"/>
  <c r="Z107" i="3"/>
  <c r="CG67" i="3"/>
  <c r="AM17" i="4"/>
  <c r="AN17" i="4"/>
  <c r="FZ79" i="3"/>
  <c r="AF111" i="3"/>
  <c r="AB17" i="4"/>
  <c r="AA17" i="4"/>
  <c r="O7" i="4"/>
  <c r="N7" i="4"/>
  <c r="AU67" i="3"/>
  <c r="AU65" i="3"/>
  <c r="AK15" i="4"/>
  <c r="AJ15" i="4"/>
  <c r="AN109" i="3"/>
  <c r="AI7" i="4"/>
  <c r="AM101" i="3"/>
  <c r="DX68" i="3"/>
  <c r="AS109" i="3"/>
  <c r="AK6" i="4"/>
  <c r="AG103" i="3"/>
  <c r="L14" i="4"/>
  <c r="I5" i="4"/>
  <c r="E5" i="4"/>
  <c r="AJ19" i="4"/>
  <c r="AD104" i="3"/>
  <c r="AI104" i="3"/>
  <c r="N104" i="3"/>
  <c r="BV45" i="3"/>
  <c r="CK46" i="3"/>
  <c r="AF101" i="3"/>
  <c r="Z106" i="3"/>
  <c r="AK101" i="3"/>
  <c r="EU67" i="3"/>
  <c r="EU65" i="3"/>
  <c r="AT101" i="3"/>
  <c r="AE112" i="3"/>
  <c r="GA70" i="3"/>
  <c r="AL45" i="3"/>
  <c r="M102" i="3"/>
  <c r="BE39" i="3"/>
  <c r="CU44" i="3"/>
  <c r="DL66" i="3"/>
  <c r="V9" i="4"/>
  <c r="Z103" i="3"/>
  <c r="EY44" i="3"/>
  <c r="EY66" i="3"/>
  <c r="AD10" i="4"/>
  <c r="AU100" i="3"/>
  <c r="EY45" i="3"/>
  <c r="AK8" i="4"/>
  <c r="AP6" i="4"/>
  <c r="R14" i="4"/>
  <c r="AR6" i="4"/>
  <c r="C5" i="2"/>
  <c r="EM72" i="3"/>
  <c r="DZ85" i="3"/>
  <c r="K68" i="3"/>
  <c r="E40" i="3"/>
  <c r="H10" i="4"/>
  <c r="F42" i="3"/>
  <c r="N10" i="4"/>
  <c r="Q104" i="3"/>
  <c r="AM8" i="4"/>
  <c r="AV113" i="3"/>
  <c r="DT44" i="3"/>
  <c r="FX80" i="3"/>
  <c r="Y9" i="4"/>
  <c r="CI46" i="3"/>
  <c r="P106" i="3"/>
  <c r="I45" i="3"/>
  <c r="AI67" i="3"/>
  <c r="AI65" i="3"/>
  <c r="AV68" i="3"/>
  <c r="BK68" i="3"/>
  <c r="BY66" i="3"/>
  <c r="CH43" i="3"/>
  <c r="CS41" i="3"/>
  <c r="CY44" i="3"/>
  <c r="DI44" i="3"/>
  <c r="DE40" i="3"/>
  <c r="AJ113" i="3"/>
  <c r="DG67" i="3"/>
  <c r="DK43" i="3"/>
  <c r="H46" i="3"/>
  <c r="FZ80" i="3"/>
  <c r="AG19" i="4"/>
  <c r="EE40" i="3"/>
  <c r="DR40" i="3"/>
  <c r="AR113" i="3"/>
  <c r="EF42" i="3"/>
  <c r="DY66" i="3"/>
  <c r="DV65" i="3"/>
  <c r="FX73" i="3"/>
  <c r="GA74" i="3"/>
  <c r="AA6" i="4"/>
  <c r="AF10" i="4"/>
  <c r="AK102" i="3"/>
  <c r="Y103" i="3"/>
  <c r="B19" i="4"/>
  <c r="J10" i="4"/>
  <c r="Y46" i="3"/>
  <c r="AK43" i="3"/>
  <c r="BL68" i="3"/>
  <c r="Q14" i="4"/>
  <c r="BU67" i="3"/>
  <c r="N12" i="4"/>
  <c r="AI107" i="3"/>
  <c r="H45" i="3"/>
  <c r="AS100" i="3"/>
  <c r="AQ6" i="4"/>
  <c r="DI66" i="3"/>
  <c r="X68" i="3"/>
  <c r="C7" i="4"/>
  <c r="AT45" i="3"/>
  <c r="U102" i="3"/>
  <c r="BX43" i="3"/>
  <c r="CF41" i="3"/>
  <c r="CY43" i="3"/>
  <c r="DG45" i="3"/>
  <c r="W19" i="4"/>
  <c r="AF113" i="3"/>
  <c r="DX46" i="3"/>
  <c r="AD112" i="3"/>
  <c r="S485" i="1"/>
  <c r="D18" i="4"/>
  <c r="E112" i="3"/>
  <c r="AG44" i="3"/>
  <c r="AG66" i="3"/>
  <c r="AG45" i="3"/>
  <c r="F112" i="3"/>
  <c r="O8" i="4"/>
  <c r="BG65" i="3"/>
  <c r="T46" i="3"/>
  <c r="CV45" i="3"/>
  <c r="H104" i="3"/>
  <c r="U45" i="3"/>
  <c r="E7" i="4"/>
  <c r="O111" i="3"/>
  <c r="M17" i="4"/>
  <c r="V19" i="4"/>
  <c r="AS8" i="4"/>
  <c r="CU65" i="3"/>
  <c r="Q10" i="4"/>
  <c r="DH44" i="3"/>
  <c r="O102" i="3"/>
  <c r="CS42" i="3"/>
  <c r="AH46" i="3"/>
  <c r="AL65" i="3"/>
  <c r="DV43" i="3"/>
  <c r="BG67" i="3"/>
  <c r="H44" i="3"/>
  <c r="BK43" i="3"/>
  <c r="Z113" i="3"/>
  <c r="AC113" i="3"/>
  <c r="T104" i="3"/>
  <c r="L65" i="3"/>
  <c r="AU44" i="3"/>
  <c r="DH43" i="3"/>
  <c r="DX44" i="3"/>
  <c r="DX43" i="3"/>
  <c r="S218" i="1"/>
  <c r="N6" i="4"/>
  <c r="P100" i="3"/>
  <c r="E101" i="3"/>
  <c r="AT44" i="3"/>
  <c r="EK65" i="3"/>
  <c r="EI45" i="3"/>
  <c r="AS12" i="4"/>
  <c r="AQ12" i="4"/>
  <c r="EK68" i="3"/>
  <c r="Q7" i="4"/>
  <c r="T68" i="3"/>
  <c r="W8" i="4"/>
  <c r="W9" i="4"/>
  <c r="DL45" i="3"/>
  <c r="CU45" i="3"/>
  <c r="BX68" i="3"/>
  <c r="AF107" i="3"/>
  <c r="I104" i="3"/>
  <c r="BL45" i="3"/>
  <c r="U43" i="3"/>
  <c r="AG43" i="3"/>
  <c r="B10" i="4"/>
  <c r="I67" i="3"/>
  <c r="L99" i="3"/>
  <c r="I44" i="3"/>
  <c r="BX46" i="3"/>
  <c r="DG44" i="3"/>
  <c r="Z100" i="3"/>
  <c r="AA100" i="3"/>
  <c r="V6" i="4"/>
  <c r="AA104" i="3"/>
  <c r="Z104" i="3"/>
  <c r="AV46" i="3"/>
  <c r="AM19" i="4"/>
  <c r="AO113" i="3"/>
  <c r="AJ102" i="3"/>
  <c r="K6" i="4"/>
  <c r="T66" i="3"/>
  <c r="AC110" i="3"/>
  <c r="M15" i="4"/>
  <c r="Z83" i="3"/>
  <c r="FX83" i="3" s="1"/>
  <c r="GC83" i="3" s="1"/>
  <c r="E19" i="4"/>
  <c r="R40" i="3"/>
  <c r="AX46" i="3"/>
  <c r="R12" i="4"/>
  <c r="BV43" i="3"/>
  <c r="BV66" i="3"/>
  <c r="T101" i="3"/>
  <c r="AF105" i="3"/>
  <c r="Y113" i="3"/>
  <c r="G18" i="4"/>
  <c r="BK66" i="3"/>
  <c r="BE40" i="3"/>
  <c r="CV67" i="3"/>
  <c r="CY65" i="3"/>
  <c r="AE16" i="4"/>
  <c r="AD16" i="4"/>
  <c r="EG44" i="3"/>
  <c r="EG45" i="3"/>
  <c r="EH46" i="3"/>
  <c r="ET67" i="3"/>
  <c r="ET46" i="3"/>
  <c r="AO101" i="3"/>
  <c r="AS102" i="3"/>
  <c r="AP111" i="3"/>
  <c r="AR111" i="3"/>
  <c r="AO111" i="3"/>
  <c r="FY76" i="3"/>
  <c r="AA102" i="3"/>
  <c r="N14" i="2"/>
  <c r="Y4" i="2"/>
  <c r="S363" i="1"/>
  <c r="AV102" i="3"/>
  <c r="BX45" i="3"/>
  <c r="J104" i="3"/>
  <c r="EG43" i="3"/>
  <c r="AV106" i="3"/>
  <c r="G111" i="3"/>
  <c r="AH45" i="3"/>
  <c r="N15" i="4"/>
  <c r="AH19" i="4"/>
  <c r="EM83" i="3"/>
  <c r="GA83" i="3" s="1"/>
  <c r="J19" i="4"/>
  <c r="V66" i="3"/>
  <c r="AY43" i="3"/>
  <c r="AY68" i="3"/>
  <c r="S8" i="4"/>
  <c r="AE101" i="3"/>
  <c r="AD101" i="3"/>
  <c r="DL44" i="3"/>
  <c r="Z102" i="3"/>
  <c r="K43" i="3"/>
  <c r="K113" i="3"/>
  <c r="I106" i="3"/>
  <c r="R8" i="4"/>
  <c r="C12" i="2"/>
  <c r="Z7" i="4"/>
  <c r="P8" i="4"/>
  <c r="M109" i="3"/>
  <c r="G112" i="3"/>
  <c r="AE108" i="3"/>
  <c r="H5" i="4"/>
  <c r="AM7" i="4"/>
  <c r="AK113" i="3"/>
  <c r="CX68" i="3"/>
  <c r="S17" i="4"/>
  <c r="AA113" i="3"/>
  <c r="DX67" i="3"/>
  <c r="V45" i="3"/>
  <c r="BX67" i="3"/>
  <c r="AH108" i="3"/>
  <c r="F5" i="2"/>
  <c r="AR15" i="4"/>
  <c r="DV67" i="3"/>
  <c r="DZ79" i="3"/>
  <c r="GA79" i="3" s="1"/>
  <c r="AK109" i="3"/>
  <c r="AI106" i="3"/>
  <c r="AJ106" i="3"/>
  <c r="DS41" i="3"/>
  <c r="CX65" i="3"/>
  <c r="EH44" i="3"/>
  <c r="EH43" i="3"/>
  <c r="AR109" i="3"/>
  <c r="AQ109" i="3"/>
  <c r="AL15" i="4"/>
  <c r="EU43" i="3"/>
  <c r="EU46" i="3"/>
  <c r="AR7" i="4"/>
  <c r="AV101" i="3"/>
  <c r="DV45" i="3"/>
  <c r="AP7" i="4"/>
  <c r="DT46" i="3"/>
  <c r="BI65" i="3"/>
  <c r="DG66" i="3"/>
  <c r="Q102" i="3"/>
  <c r="AV65" i="3"/>
  <c r="K104" i="3"/>
  <c r="AV44" i="3"/>
  <c r="AL43" i="3"/>
  <c r="S7" i="4"/>
  <c r="AV66" i="3"/>
  <c r="AV45" i="3"/>
  <c r="V11" i="4"/>
  <c r="W11" i="4"/>
  <c r="AB105" i="3"/>
  <c r="Y105" i="3"/>
  <c r="P15" i="4"/>
  <c r="Q109" i="3"/>
  <c r="T112" i="3"/>
  <c r="Q18" i="4"/>
  <c r="BY43" i="3"/>
  <c r="AU43" i="3"/>
  <c r="AT65" i="3"/>
  <c r="DZ82" i="3"/>
  <c r="GA82" i="3" s="1"/>
  <c r="AO112" i="3"/>
  <c r="F41" i="3"/>
  <c r="AX66" i="3"/>
  <c r="AR39" i="3"/>
  <c r="BG45" i="3"/>
  <c r="BG43" i="3"/>
  <c r="K12" i="4"/>
  <c r="L12" i="4"/>
  <c r="N106" i="3"/>
  <c r="O106" i="3"/>
  <c r="CU66" i="3"/>
  <c r="AE105" i="3"/>
  <c r="AA103" i="3"/>
  <c r="X9" i="4"/>
  <c r="AB103" i="3"/>
  <c r="AB112" i="3"/>
  <c r="D10" i="2"/>
  <c r="Q8" i="4"/>
  <c r="S101" i="3"/>
  <c r="AT43" i="3"/>
  <c r="J111" i="3"/>
  <c r="X11" i="4"/>
  <c r="Y11" i="2"/>
  <c r="DV68" i="3"/>
  <c r="BK67" i="3"/>
  <c r="BI68" i="3"/>
  <c r="AP19" i="4"/>
  <c r="AG68" i="3"/>
  <c r="BZ84" i="3"/>
  <c r="X10" i="4"/>
  <c r="BT44" i="3"/>
  <c r="AU45" i="3"/>
  <c r="AZ85" i="3"/>
  <c r="FY85" i="3" s="1"/>
  <c r="Z16" i="4"/>
  <c r="R18" i="4"/>
  <c r="N111" i="3"/>
  <c r="S18" i="4"/>
  <c r="BS42" i="3"/>
  <c r="X19" i="4"/>
  <c r="AO19" i="4"/>
  <c r="DZ81" i="3"/>
  <c r="GA81" i="3" s="1"/>
  <c r="AQ17" i="4"/>
  <c r="AT111" i="3"/>
  <c r="D17" i="4"/>
  <c r="C17" i="4"/>
  <c r="C19" i="4"/>
  <c r="E113" i="3"/>
  <c r="AK65" i="3"/>
  <c r="AK44" i="3"/>
  <c r="BK44" i="3"/>
  <c r="BK46" i="3"/>
  <c r="BK45" i="3"/>
  <c r="S6" i="4"/>
  <c r="T100" i="3"/>
  <c r="AE107" i="3"/>
  <c r="CH67" i="3"/>
  <c r="AA13" i="4"/>
  <c r="AC107" i="3"/>
  <c r="AH44" i="3"/>
  <c r="AH43" i="3"/>
  <c r="AH67" i="3"/>
  <c r="R17" i="4"/>
  <c r="Q17" i="4"/>
  <c r="U111" i="3"/>
  <c r="T111" i="3"/>
  <c r="W4" i="2"/>
  <c r="P102" i="3"/>
  <c r="D112" i="3"/>
  <c r="T102" i="3"/>
  <c r="Q6" i="4"/>
  <c r="AG14" i="2"/>
  <c r="B13" i="4"/>
  <c r="Z77" i="3"/>
  <c r="Z71" i="3"/>
  <c r="N112" i="3"/>
  <c r="O112" i="3"/>
  <c r="K18" i="4"/>
  <c r="M18" i="4"/>
  <c r="L18" i="4"/>
  <c r="AO8" i="4"/>
  <c r="DU46" i="3"/>
  <c r="AJ8" i="4"/>
  <c r="AL102" i="3"/>
  <c r="AI8" i="4"/>
  <c r="AR18" i="4"/>
  <c r="AE102" i="3"/>
  <c r="AF102" i="3"/>
  <c r="AD18" i="4"/>
  <c r="AG18" i="4"/>
  <c r="AG112" i="3"/>
  <c r="D5" i="2"/>
  <c r="K10" i="4"/>
  <c r="P104" i="3"/>
  <c r="CL46" i="3"/>
  <c r="CK45" i="3"/>
  <c r="CF42" i="3"/>
  <c r="Y102" i="3"/>
  <c r="AH107" i="3"/>
  <c r="AM12" i="4"/>
  <c r="Y18" i="4"/>
  <c r="CI43" i="3"/>
  <c r="N14" i="4"/>
  <c r="D13" i="4"/>
  <c r="O12" i="4"/>
  <c r="F99" i="3"/>
  <c r="BM78" i="3"/>
  <c r="FY78" i="3" s="1"/>
  <c r="Q111" i="3"/>
  <c r="AF6" i="4"/>
  <c r="AL13" i="4"/>
  <c r="AH13" i="4"/>
  <c r="EK67" i="3"/>
  <c r="AQ13" i="4"/>
  <c r="AR13" i="4"/>
  <c r="AN102" i="3"/>
  <c r="AH8" i="4"/>
  <c r="AN18" i="4"/>
  <c r="FX70" i="3"/>
  <c r="FX72" i="3"/>
  <c r="GA78" i="3"/>
  <c r="FX81" i="3"/>
  <c r="FZ73" i="3"/>
  <c r="AC112" i="3"/>
  <c r="Z18" i="4"/>
  <c r="BB3" i="1"/>
  <c r="E107" i="3"/>
  <c r="BU66" i="3"/>
  <c r="D19" i="4"/>
  <c r="G65" i="3"/>
  <c r="FC65" i="3" s="1"/>
  <c r="FC69" i="3" s="1"/>
  <c r="Q106" i="3"/>
  <c r="K44" i="3"/>
  <c r="F101" i="3"/>
  <c r="X66" i="3"/>
  <c r="J18" i="4"/>
  <c r="AI46" i="3"/>
  <c r="DH66" i="3"/>
  <c r="AI113" i="3"/>
  <c r="DY43" i="3"/>
  <c r="F17" i="4"/>
  <c r="E17" i="4"/>
  <c r="AB102" i="3"/>
  <c r="AQ8" i="4"/>
  <c r="DV66" i="3"/>
  <c r="E5" i="2"/>
  <c r="S496" i="1"/>
  <c r="AF14" i="2"/>
  <c r="Z76" i="3"/>
  <c r="FX76" i="3" s="1"/>
  <c r="H12" i="4"/>
  <c r="V43" i="3"/>
  <c r="V65" i="3"/>
  <c r="R39" i="3"/>
  <c r="AL67" i="3"/>
  <c r="BL44" i="3"/>
  <c r="BL43" i="3"/>
  <c r="AF13" i="4"/>
  <c r="CI44" i="3"/>
  <c r="CI66" i="3"/>
  <c r="AA101" i="3"/>
  <c r="V7" i="4"/>
  <c r="DK65" i="3"/>
  <c r="AV43" i="3"/>
  <c r="H43" i="3"/>
  <c r="AR100" i="3"/>
  <c r="AQ100" i="3"/>
  <c r="AI100" i="3"/>
  <c r="G5" i="2"/>
  <c r="V5" i="2" s="1"/>
  <c r="V14" i="2" s="1"/>
  <c r="V150" i="1"/>
  <c r="BD150" i="1" s="1"/>
  <c r="G67" i="3"/>
  <c r="Y67" i="3"/>
  <c r="T45" i="3"/>
  <c r="V67" i="3"/>
  <c r="BX66" i="3"/>
  <c r="R102" i="3"/>
  <c r="CL45" i="3"/>
  <c r="AG101" i="3"/>
  <c r="G7" i="4"/>
  <c r="EL43" i="3"/>
  <c r="FY71" i="3"/>
  <c r="CR40" i="3"/>
  <c r="X7" i="4"/>
  <c r="FX78" i="3"/>
  <c r="AC12" i="4"/>
  <c r="K7" i="4"/>
  <c r="AF108" i="3"/>
  <c r="M112" i="3"/>
  <c r="S41" i="3"/>
  <c r="AF41" i="3"/>
  <c r="AS41" i="3"/>
  <c r="AR40" i="3"/>
  <c r="BF41" i="3"/>
  <c r="AU101" i="3"/>
  <c r="GA73" i="3"/>
  <c r="CZ82" i="3"/>
  <c r="FZ82" i="3" s="1"/>
  <c r="CZ72" i="3"/>
  <c r="AH102" i="3"/>
  <c r="CV66" i="3"/>
  <c r="AE8" i="4"/>
  <c r="DI68" i="3"/>
  <c r="DM86" i="3"/>
  <c r="DH65" i="3"/>
  <c r="DL68" i="3"/>
  <c r="X9" i="2"/>
  <c r="DM72" i="3"/>
  <c r="AG102" i="3"/>
  <c r="AD8" i="4"/>
  <c r="CM72" i="3"/>
  <c r="DG65" i="3"/>
  <c r="CT65" i="3"/>
  <c r="CY67" i="3"/>
  <c r="CL67" i="3"/>
  <c r="CI65" i="3"/>
  <c r="CH65" i="3"/>
  <c r="AB14" i="2"/>
  <c r="AX68" i="3"/>
  <c r="T44" i="3"/>
  <c r="X46" i="3"/>
  <c r="AB19" i="4"/>
  <c r="T67" i="3"/>
  <c r="X13" i="4"/>
  <c r="CG45" i="3"/>
  <c r="CG44" i="3"/>
  <c r="CG65" i="3"/>
  <c r="W13" i="4"/>
  <c r="Y107" i="3"/>
  <c r="AB107" i="3"/>
  <c r="AA107" i="3"/>
  <c r="DH67" i="3"/>
  <c r="U66" i="3"/>
  <c r="U46" i="3"/>
  <c r="U68" i="3"/>
  <c r="G10" i="4"/>
  <c r="R108" i="3"/>
  <c r="Y110" i="3"/>
  <c r="Z110" i="3"/>
  <c r="AB110" i="3"/>
  <c r="V16" i="4"/>
  <c r="X16" i="4"/>
  <c r="DS42" i="3"/>
  <c r="EL66" i="3"/>
  <c r="EK44" i="3"/>
  <c r="AN113" i="3"/>
  <c r="AI19" i="4"/>
  <c r="AM113" i="3"/>
  <c r="CE39" i="3"/>
  <c r="K14" i="2"/>
  <c r="AC108" i="3"/>
  <c r="CM78" i="3"/>
  <c r="FZ78" i="3" s="1"/>
  <c r="CM85" i="3"/>
  <c r="Y112" i="3"/>
  <c r="V18" i="4"/>
  <c r="S497" i="1"/>
  <c r="S500" i="1"/>
  <c r="CH68" i="3"/>
  <c r="AB13" i="4"/>
  <c r="CH44" i="3"/>
  <c r="Z13" i="4"/>
  <c r="AC13" i="4"/>
  <c r="CH45" i="3"/>
  <c r="CH66" i="3"/>
  <c r="DI65" i="3"/>
  <c r="DI67" i="3"/>
  <c r="CK67" i="3"/>
  <c r="U100" i="3"/>
  <c r="AD19" i="4"/>
  <c r="X44" i="3"/>
  <c r="BH67" i="3"/>
  <c r="DE39" i="3"/>
  <c r="K46" i="3"/>
  <c r="AD14" i="4"/>
  <c r="AD113" i="3"/>
  <c r="U67" i="3"/>
  <c r="F7" i="4"/>
  <c r="CT43" i="3"/>
  <c r="X43" i="3"/>
  <c r="EI66" i="3"/>
  <c r="AL46" i="3"/>
  <c r="AL66" i="3"/>
  <c r="AL68" i="3"/>
  <c r="AK68" i="3"/>
  <c r="AK66" i="3"/>
  <c r="AX43" i="3"/>
  <c r="BL66" i="3"/>
  <c r="BL65" i="3"/>
  <c r="S108" i="3"/>
  <c r="U108" i="3"/>
  <c r="S14" i="4"/>
  <c r="BU43" i="3"/>
  <c r="BU45" i="3"/>
  <c r="P12" i="4"/>
  <c r="BU65" i="3"/>
  <c r="BU68" i="3"/>
  <c r="AP18" i="4"/>
  <c r="AS112" i="3"/>
  <c r="AU112" i="3"/>
  <c r="AV112" i="3"/>
  <c r="AT112" i="3"/>
  <c r="AQ18" i="4"/>
  <c r="AC102" i="3"/>
  <c r="S102" i="3"/>
  <c r="U65" i="3"/>
  <c r="Z19" i="4"/>
  <c r="U44" i="3"/>
  <c r="J101" i="3"/>
  <c r="L68" i="3"/>
  <c r="L66" i="3"/>
  <c r="L44" i="3"/>
  <c r="L46" i="3"/>
  <c r="G68" i="3"/>
  <c r="G43" i="3"/>
  <c r="G46" i="3"/>
  <c r="D10" i="4"/>
  <c r="Y66" i="3"/>
  <c r="Y65" i="3"/>
  <c r="Y45" i="3"/>
  <c r="J107" i="3"/>
  <c r="AY44" i="3"/>
  <c r="AY66" i="3"/>
  <c r="AY45" i="3"/>
  <c r="BV65" i="3"/>
  <c r="BV67" i="3"/>
  <c r="BV46" i="3"/>
  <c r="BV68" i="3"/>
  <c r="T106" i="3"/>
  <c r="U106" i="3"/>
  <c r="S106" i="3"/>
  <c r="BV44" i="3"/>
  <c r="CK66" i="3"/>
  <c r="CK65" i="3"/>
  <c r="CK43" i="3"/>
  <c r="CK44" i="3"/>
  <c r="AA7" i="4"/>
  <c r="AB7" i="4"/>
  <c r="AC7" i="4"/>
  <c r="DF42" i="3"/>
  <c r="DF41" i="3"/>
  <c r="AA18" i="4"/>
  <c r="AF112" i="3"/>
  <c r="FY70" i="3"/>
  <c r="AF18" i="4"/>
  <c r="AE18" i="4"/>
  <c r="AH112" i="3"/>
  <c r="CM81" i="3"/>
  <c r="FZ81" i="3" s="1"/>
  <c r="AC111" i="3"/>
  <c r="Y111" i="3"/>
  <c r="P108" i="3"/>
  <c r="O14" i="4"/>
  <c r="Q108" i="3"/>
  <c r="BL67" i="3"/>
  <c r="BH65" i="3"/>
  <c r="AI102" i="3"/>
  <c r="AE19" i="4"/>
  <c r="BI43" i="3"/>
  <c r="CY68" i="3"/>
  <c r="V8" i="4"/>
  <c r="N8" i="4"/>
  <c r="F10" i="4"/>
  <c r="BY67" i="3"/>
  <c r="CT46" i="3"/>
  <c r="AH113" i="3"/>
  <c r="CU67" i="3"/>
  <c r="CG68" i="3"/>
  <c r="BY46" i="3"/>
  <c r="E104" i="3"/>
  <c r="D107" i="3"/>
  <c r="AC19" i="4"/>
  <c r="D7" i="4"/>
  <c r="CT68" i="3"/>
  <c r="S12" i="4"/>
  <c r="DL67" i="3"/>
  <c r="AH6" i="4"/>
  <c r="AD107" i="3"/>
  <c r="BI66" i="3"/>
  <c r="L45" i="3"/>
  <c r="DL46" i="3"/>
  <c r="AE40" i="3"/>
  <c r="J112" i="3"/>
  <c r="AK67" i="3"/>
  <c r="E18" i="4"/>
  <c r="AM85" i="3"/>
  <c r="H18" i="4"/>
  <c r="B18" i="4"/>
  <c r="K66" i="3"/>
  <c r="D101" i="3"/>
  <c r="B7" i="4"/>
  <c r="E39" i="3"/>
  <c r="V68" i="3"/>
  <c r="D12" i="4"/>
  <c r="E106" i="3"/>
  <c r="BX44" i="3"/>
  <c r="BX65" i="3"/>
  <c r="CL44" i="3"/>
  <c r="CL66" i="3"/>
  <c r="CL65" i="3"/>
  <c r="CV44" i="3"/>
  <c r="AJ101" i="3"/>
  <c r="CV43" i="3"/>
  <c r="CV68" i="3"/>
  <c r="CV46" i="3"/>
  <c r="AH101" i="3"/>
  <c r="DG46" i="3"/>
  <c r="DG43" i="3"/>
  <c r="DG68" i="3"/>
  <c r="Y106" i="3"/>
  <c r="AB106" i="3"/>
  <c r="Y12" i="4"/>
  <c r="W12" i="4"/>
  <c r="X12" i="4"/>
  <c r="AK100" i="3"/>
  <c r="AI6" i="4"/>
  <c r="AL100" i="3"/>
  <c r="AN100" i="3"/>
  <c r="AK106" i="3"/>
  <c r="AJ12" i="4"/>
  <c r="AN106" i="3"/>
  <c r="AH12" i="4"/>
  <c r="AM106" i="3"/>
  <c r="AK12" i="4"/>
  <c r="AI12" i="4"/>
  <c r="AV3" i="1"/>
  <c r="BY45" i="3"/>
  <c r="H13" i="4"/>
  <c r="CH46" i="3"/>
  <c r="DY65" i="3"/>
  <c r="G44" i="3"/>
  <c r="Y68" i="3"/>
  <c r="G66" i="3"/>
  <c r="H101" i="3"/>
  <c r="Q12" i="4"/>
  <c r="X18" i="4"/>
  <c r="Y43" i="3"/>
  <c r="AF8" i="4"/>
  <c r="CK68" i="3"/>
  <c r="Y108" i="3"/>
  <c r="K106" i="3"/>
  <c r="J12" i="4"/>
  <c r="O109" i="3"/>
  <c r="K15" i="4"/>
  <c r="L15" i="4"/>
  <c r="N109" i="3"/>
  <c r="BI44" i="3"/>
  <c r="BI46" i="3"/>
  <c r="DY46" i="3"/>
  <c r="DY67" i="3"/>
  <c r="DY68" i="3"/>
  <c r="DY44" i="3"/>
  <c r="DR39" i="3"/>
  <c r="EI46" i="3"/>
  <c r="EI65" i="3"/>
  <c r="EI68" i="3"/>
  <c r="EH45" i="3"/>
  <c r="AP102" i="3"/>
  <c r="AL12" i="4"/>
  <c r="AO12" i="4"/>
  <c r="AQ106" i="3"/>
  <c r="AU3" i="1"/>
  <c r="AE14" i="2"/>
  <c r="J113" i="3"/>
  <c r="D113" i="3"/>
  <c r="X45" i="3"/>
  <c r="AI66" i="3"/>
  <c r="AI45" i="3"/>
  <c r="AI68" i="3"/>
  <c r="I17" i="4"/>
  <c r="AI44" i="3"/>
  <c r="H17" i="4"/>
  <c r="L111" i="3"/>
  <c r="O101" i="3"/>
  <c r="M101" i="3"/>
  <c r="AT67" i="3"/>
  <c r="AT68" i="3"/>
  <c r="AT46" i="3"/>
  <c r="R15" i="4"/>
  <c r="S15" i="4"/>
  <c r="Q15" i="4"/>
  <c r="BG44" i="3"/>
  <c r="BG46" i="3"/>
  <c r="M8" i="4"/>
  <c r="N102" i="3"/>
  <c r="O15" i="4"/>
  <c r="R109" i="3"/>
  <c r="S80" i="1"/>
  <c r="G107" i="3"/>
  <c r="DI45" i="3"/>
  <c r="BH44" i="3"/>
  <c r="S100" i="3"/>
  <c r="BH45" i="3"/>
  <c r="J13" i="4"/>
  <c r="BI45" i="3"/>
  <c r="DZ77" i="3"/>
  <c r="GA77" i="3" s="1"/>
  <c r="AK107" i="3"/>
  <c r="AK111" i="3"/>
  <c r="AH17" i="4"/>
  <c r="B17" i="4"/>
  <c r="D111" i="3"/>
  <c r="E111" i="3"/>
  <c r="AZ81" i="3"/>
  <c r="FY81" i="3" s="1"/>
  <c r="M111" i="3"/>
  <c r="AE113" i="3"/>
  <c r="AA19" i="4"/>
  <c r="EE39" i="3"/>
  <c r="EF41" i="3"/>
  <c r="AQ19" i="4"/>
  <c r="AS113" i="3"/>
  <c r="E12" i="2"/>
  <c r="R6" i="4"/>
  <c r="AC11" i="4"/>
  <c r="AD105" i="3"/>
  <c r="AA11" i="4"/>
  <c r="CU68" i="3"/>
  <c r="Z11" i="4"/>
  <c r="DL43" i="3"/>
  <c r="DL65" i="3"/>
  <c r="DK67" i="3"/>
  <c r="DK46" i="3"/>
  <c r="EI43" i="3"/>
  <c r="AD102" i="3"/>
  <c r="DI43" i="3"/>
  <c r="BH46" i="3"/>
  <c r="AC101" i="3"/>
  <c r="BI67" i="3"/>
  <c r="Y44" i="3"/>
  <c r="V46" i="3"/>
  <c r="AS42" i="3"/>
  <c r="AY46" i="3"/>
  <c r="AG8" i="4"/>
  <c r="BZ86" i="3"/>
  <c r="BZ72" i="3"/>
  <c r="R104" i="3"/>
  <c r="AU46" i="3"/>
  <c r="AE14" i="4"/>
  <c r="AJ108" i="3"/>
  <c r="AG14" i="4"/>
  <c r="CY46" i="3"/>
  <c r="CY66" i="3"/>
  <c r="CY45" i="3"/>
  <c r="AH110" i="3"/>
  <c r="AI110" i="3"/>
  <c r="AG16" i="4"/>
  <c r="EH68" i="3"/>
  <c r="EH65" i="3"/>
  <c r="EG46" i="3"/>
  <c r="EH66" i="3"/>
  <c r="ET44" i="3"/>
  <c r="ET43" i="3"/>
  <c r="ET45" i="3"/>
  <c r="AO7" i="4"/>
  <c r="AL7" i="4"/>
  <c r="S219" i="1"/>
  <c r="AO13" i="4"/>
  <c r="AQ107" i="3"/>
  <c r="DU66" i="3"/>
  <c r="DU45" i="3"/>
  <c r="DU67" i="3"/>
  <c r="AO107" i="3"/>
  <c r="H99" i="3"/>
  <c r="I99" i="3"/>
  <c r="H67" i="3"/>
  <c r="H66" i="3"/>
  <c r="H68" i="3"/>
  <c r="AF19" i="4"/>
  <c r="DK44" i="3"/>
  <c r="P112" i="3"/>
  <c r="N18" i="4"/>
  <c r="AZ82" i="3"/>
  <c r="FY82" i="3" s="1"/>
  <c r="S512" i="1"/>
  <c r="S515" i="1"/>
  <c r="Z6" i="2"/>
  <c r="Z14" i="2" s="1"/>
  <c r="AA6" i="2"/>
  <c r="AA14" i="2" s="1"/>
  <c r="AG111" i="3"/>
  <c r="G10" i="2"/>
  <c r="I101" i="3"/>
  <c r="AO100" i="3"/>
  <c r="AP100" i="3"/>
  <c r="AO6" i="4"/>
  <c r="FX79" i="3"/>
  <c r="AZ86" i="3"/>
  <c r="FY86" i="3" s="1"/>
  <c r="AO109" i="3"/>
  <c r="AU109" i="3"/>
  <c r="T43" i="3"/>
  <c r="T65" i="3"/>
  <c r="AG65" i="3"/>
  <c r="AG67" i="3"/>
  <c r="F12" i="4"/>
  <c r="H106" i="3"/>
  <c r="CZ85" i="3"/>
  <c r="CZ86" i="3"/>
  <c r="Y19" i="4"/>
  <c r="AB113" i="3"/>
  <c r="AH15" i="4"/>
  <c r="DT66" i="3"/>
  <c r="AI15" i="4"/>
  <c r="AM109" i="3"/>
  <c r="DT45" i="3"/>
  <c r="AJ7" i="4"/>
  <c r="AL101" i="3"/>
  <c r="AT100" i="3"/>
  <c r="AV100" i="3"/>
  <c r="AS106" i="3"/>
  <c r="AR12" i="4"/>
  <c r="AP12" i="4"/>
  <c r="J8" i="2"/>
  <c r="J14" i="2" s="1"/>
  <c r="R10" i="4"/>
  <c r="S10" i="4"/>
  <c r="U104" i="3"/>
  <c r="S104" i="3"/>
  <c r="M108" i="3"/>
  <c r="K14" i="4"/>
  <c r="AU66" i="3"/>
  <c r="P101" i="3"/>
  <c r="R101" i="3"/>
  <c r="AP13" i="4"/>
  <c r="DV46" i="3"/>
  <c r="O6" i="4"/>
  <c r="BH66" i="3"/>
  <c r="S112" i="3"/>
  <c r="U112" i="3"/>
  <c r="CX43" i="3"/>
  <c r="V14" i="4"/>
  <c r="Y14" i="4"/>
  <c r="AB8" i="4"/>
  <c r="Z8" i="4"/>
  <c r="AC8" i="4"/>
  <c r="E10" i="2"/>
  <c r="H14" i="2"/>
  <c r="AL18" i="4"/>
  <c r="AH18" i="4"/>
  <c r="I7" i="4"/>
  <c r="K101" i="3"/>
  <c r="H7" i="4"/>
  <c r="AF42" i="3"/>
  <c r="Y101" i="3"/>
  <c r="DK66" i="3"/>
  <c r="CT67" i="3"/>
  <c r="CT45" i="3"/>
  <c r="CT66" i="3"/>
  <c r="CT44" i="3"/>
  <c r="L14" i="2"/>
  <c r="AD17" i="4"/>
  <c r="AG17" i="4"/>
  <c r="AH111" i="3"/>
  <c r="BT68" i="3"/>
  <c r="DH46" i="3"/>
  <c r="DX66" i="3"/>
  <c r="AR112" i="3"/>
  <c r="AP112" i="3"/>
  <c r="AP8" i="4"/>
  <c r="AT102" i="3"/>
  <c r="AU102" i="3"/>
  <c r="AR8" i="4"/>
  <c r="AM102" i="3"/>
  <c r="D7" i="2"/>
  <c r="Z85" i="3"/>
  <c r="I46" i="3"/>
  <c r="I43" i="3"/>
  <c r="I10" i="4"/>
  <c r="AK45" i="3"/>
  <c r="AX67" i="3"/>
  <c r="AX65" i="3"/>
  <c r="AX44" i="3"/>
  <c r="AX45" i="3"/>
  <c r="BG66" i="3"/>
  <c r="BG68" i="3"/>
  <c r="K8" i="4"/>
  <c r="DI46" i="3"/>
  <c r="P17" i="4"/>
  <c r="O17" i="4"/>
  <c r="N17" i="4"/>
  <c r="AR102" i="3"/>
  <c r="DU68" i="3"/>
  <c r="AR19" i="4"/>
  <c r="AU113" i="3"/>
  <c r="AK112" i="3"/>
  <c r="AI108" i="3"/>
  <c r="AG108" i="3"/>
  <c r="AA10" i="4"/>
  <c r="AB10" i="4"/>
  <c r="X17" i="4"/>
  <c r="W17" i="4"/>
  <c r="S482" i="1"/>
  <c r="X67" i="3"/>
  <c r="M71" i="3"/>
  <c r="V44" i="3"/>
  <c r="M6" i="4"/>
  <c r="L6" i="4"/>
  <c r="M100" i="3"/>
  <c r="O100" i="3"/>
  <c r="BH43" i="3"/>
  <c r="CE40" i="3"/>
  <c r="AH103" i="3"/>
  <c r="AG113" i="3"/>
  <c r="D12" i="2"/>
  <c r="G11" i="2"/>
  <c r="C10" i="4"/>
  <c r="BY44" i="3"/>
  <c r="BY68" i="3"/>
  <c r="DZ71" i="3"/>
  <c r="GA71" i="3" s="1"/>
  <c r="H112" i="3"/>
  <c r="AH65" i="3"/>
  <c r="K17" i="4"/>
  <c r="CU43" i="3"/>
  <c r="EV66" i="3"/>
  <c r="EV68" i="3"/>
  <c r="AL17" i="4"/>
  <c r="AD100" i="3"/>
  <c r="Z6" i="4"/>
  <c r="Y8" i="4"/>
  <c r="AQ111" i="3"/>
  <c r="U101" i="3"/>
  <c r="X8" i="4"/>
  <c r="AE106" i="3"/>
  <c r="L17" i="4"/>
  <c r="AH68" i="3"/>
  <c r="I112" i="3"/>
  <c r="AG10" i="4"/>
  <c r="AV67" i="3"/>
  <c r="AE10" i="4"/>
  <c r="G101" i="3"/>
  <c r="AY65" i="3"/>
  <c r="M106" i="3"/>
  <c r="BT67" i="3"/>
  <c r="G19" i="4"/>
  <c r="F19" i="4"/>
  <c r="DT68" i="3"/>
  <c r="AQ113" i="3"/>
  <c r="AL19" i="4"/>
  <c r="AB14" i="4"/>
  <c r="M6" i="2" l="1"/>
  <c r="M14" i="2" s="1"/>
  <c r="FV46" i="3"/>
  <c r="X12" i="2"/>
  <c r="FM67" i="3"/>
  <c r="FP46" i="3"/>
  <c r="FT44" i="3"/>
  <c r="FZ77" i="3"/>
  <c r="FR66" i="3"/>
  <c r="FV67" i="3"/>
  <c r="FR43" i="3"/>
  <c r="F14" i="2"/>
  <c r="FU66" i="3"/>
  <c r="FY84" i="3"/>
  <c r="FR68" i="3"/>
  <c r="FV65" i="3"/>
  <c r="X5" i="2"/>
  <c r="FR44" i="3"/>
  <c r="FH44" i="3"/>
  <c r="GC75" i="3"/>
  <c r="FE66" i="3"/>
  <c r="FT65" i="3"/>
  <c r="L115" i="3"/>
  <c r="FI68" i="3"/>
  <c r="FG43" i="3"/>
  <c r="GA85" i="3"/>
  <c r="FC66" i="3"/>
  <c r="FS67" i="3"/>
  <c r="FH66" i="3"/>
  <c r="FL68" i="3"/>
  <c r="FR46" i="3"/>
  <c r="FZ40" i="3"/>
  <c r="FU65" i="3"/>
  <c r="FE45" i="3"/>
  <c r="FZ72" i="3"/>
  <c r="FS65" i="3"/>
  <c r="GA41" i="3"/>
  <c r="C14" i="2"/>
  <c r="H16" i="2" s="1"/>
  <c r="FV44" i="3"/>
  <c r="FX71" i="3"/>
  <c r="GC71" i="3" s="1"/>
  <c r="FZ41" i="3"/>
  <c r="FD46" i="3"/>
  <c r="FZ42" i="3"/>
  <c r="FX42" i="3"/>
  <c r="GC79" i="3"/>
  <c r="FQ44" i="3"/>
  <c r="FN45" i="3"/>
  <c r="FL65" i="3"/>
  <c r="FO68" i="3"/>
  <c r="FD45" i="3"/>
  <c r="GA72" i="3"/>
  <c r="FI44" i="3"/>
  <c r="FF43" i="3"/>
  <c r="FV66" i="3"/>
  <c r="FS68" i="3"/>
  <c r="FL66" i="3"/>
  <c r="FF65" i="3"/>
  <c r="FO45" i="3"/>
  <c r="FC44" i="3"/>
  <c r="FO67" i="3"/>
  <c r="FN43" i="3"/>
  <c r="FQ43" i="3"/>
  <c r="FU68" i="3"/>
  <c r="FU44" i="3"/>
  <c r="FI43" i="3"/>
  <c r="FK44" i="3"/>
  <c r="GA42" i="3"/>
  <c r="FT45" i="3"/>
  <c r="FJ45" i="3"/>
  <c r="T115" i="3"/>
  <c r="G14" i="2"/>
  <c r="FE67" i="3"/>
  <c r="AV115" i="3"/>
  <c r="FK67" i="3"/>
  <c r="FY72" i="3"/>
  <c r="FT43" i="3"/>
  <c r="FX40" i="3"/>
  <c r="FM66" i="3"/>
  <c r="FV68" i="3"/>
  <c r="FP68" i="3"/>
  <c r="FP65" i="3"/>
  <c r="GC78" i="3"/>
  <c r="FY40" i="3"/>
  <c r="FP45" i="3"/>
  <c r="FS44" i="3"/>
  <c r="FY42" i="3"/>
  <c r="AF115" i="3"/>
  <c r="FG65" i="3"/>
  <c r="FI67" i="3"/>
  <c r="FN44" i="3"/>
  <c r="GC76" i="3"/>
  <c r="FR65" i="3"/>
  <c r="FK65" i="3"/>
  <c r="FY39" i="3"/>
  <c r="FR67" i="3"/>
  <c r="GC73" i="3"/>
  <c r="FX74" i="3"/>
  <c r="GC74" i="3" s="1"/>
  <c r="FO46" i="3"/>
  <c r="AT115" i="3"/>
  <c r="FJ43" i="3"/>
  <c r="FY41" i="3"/>
  <c r="FV45" i="3"/>
  <c r="FD67" i="3"/>
  <c r="FQ46" i="3"/>
  <c r="FJ44" i="3"/>
  <c r="Y14" i="2"/>
  <c r="AC115" i="3"/>
  <c r="FU45" i="3"/>
  <c r="AS115" i="3"/>
  <c r="O115" i="3"/>
  <c r="FD44" i="3"/>
  <c r="FS46" i="3"/>
  <c r="GA39" i="3"/>
  <c r="GC80" i="3"/>
  <c r="E14" i="2"/>
  <c r="FX39" i="3"/>
  <c r="FG45" i="3"/>
  <c r="FK43" i="3"/>
  <c r="FE43" i="3"/>
  <c r="FL46" i="3"/>
  <c r="AX3" i="1"/>
  <c r="BA3" i="1" s="1"/>
  <c r="FJ66" i="3"/>
  <c r="FC45" i="3"/>
  <c r="FH45" i="3"/>
  <c r="FT67" i="3"/>
  <c r="FU46" i="3"/>
  <c r="FU43" i="3"/>
  <c r="FI45" i="3"/>
  <c r="FQ66" i="3"/>
  <c r="Q115" i="3"/>
  <c r="FS43" i="3"/>
  <c r="FJ68" i="3"/>
  <c r="FH65" i="3"/>
  <c r="FK45" i="3"/>
  <c r="K115" i="3"/>
  <c r="GC81" i="3"/>
  <c r="FH43" i="3"/>
  <c r="GA40" i="3"/>
  <c r="AG115" i="3"/>
  <c r="AB115" i="3"/>
  <c r="FF44" i="3"/>
  <c r="FC67" i="3"/>
  <c r="FU67" i="3"/>
  <c r="FL43" i="3"/>
  <c r="FE44" i="3"/>
  <c r="FH46" i="3"/>
  <c r="FF45" i="3"/>
  <c r="FX41" i="3"/>
  <c r="D14" i="2"/>
  <c r="AN115" i="3"/>
  <c r="FJ65" i="3"/>
  <c r="FM43" i="3"/>
  <c r="AA115" i="3"/>
  <c r="FK68" i="3"/>
  <c r="F115" i="3"/>
  <c r="FJ67" i="3"/>
  <c r="FT46" i="3"/>
  <c r="FT68" i="3"/>
  <c r="FR45" i="3"/>
  <c r="E115" i="3"/>
  <c r="FO66" i="3"/>
  <c r="FD43" i="3"/>
  <c r="AR115" i="3"/>
  <c r="AU115" i="3"/>
  <c r="R115" i="3"/>
  <c r="AI115" i="3"/>
  <c r="FN66" i="3"/>
  <c r="FK66" i="3"/>
  <c r="FK46" i="3"/>
  <c r="N115" i="3"/>
  <c r="AQ115" i="3"/>
  <c r="FI65" i="3"/>
  <c r="Z115" i="3"/>
  <c r="FM65" i="3"/>
  <c r="AP115" i="3"/>
  <c r="AE115" i="3"/>
  <c r="FQ45" i="3"/>
  <c r="FD66" i="3"/>
  <c r="FJ46" i="3"/>
  <c r="FO44" i="3"/>
  <c r="FF66" i="3"/>
  <c r="FN67" i="3"/>
  <c r="FL67" i="3"/>
  <c r="GC70" i="3"/>
  <c r="FO65" i="3"/>
  <c r="FV43" i="3"/>
  <c r="FZ85" i="3"/>
  <c r="I115" i="3"/>
  <c r="FQ65" i="3"/>
  <c r="FF46" i="3"/>
  <c r="FF68" i="3"/>
  <c r="AO115" i="3"/>
  <c r="H115" i="3"/>
  <c r="S115" i="3"/>
  <c r="FM46" i="3"/>
  <c r="GC82" i="3"/>
  <c r="FI46" i="3"/>
  <c r="FC46" i="3"/>
  <c r="FC68" i="3"/>
  <c r="FM44" i="3"/>
  <c r="AM115" i="3"/>
  <c r="X10" i="2"/>
  <c r="V10" i="2"/>
  <c r="FS45" i="3"/>
  <c r="FC43" i="3"/>
  <c r="FN68" i="3"/>
  <c r="FZ39" i="3"/>
  <c r="FM45" i="3"/>
  <c r="FS66" i="3"/>
  <c r="FH68" i="3"/>
  <c r="FT66" i="3"/>
  <c r="U115" i="3"/>
  <c r="Y115" i="3"/>
  <c r="FH67" i="3"/>
  <c r="FN46" i="3"/>
  <c r="AH115" i="3"/>
  <c r="FQ68" i="3"/>
  <c r="FG68" i="3"/>
  <c r="FG46" i="3"/>
  <c r="FD68" i="3"/>
  <c r="FE68" i="3"/>
  <c r="FE46" i="3"/>
  <c r="AD115" i="3"/>
  <c r="P115" i="3"/>
  <c r="AL115" i="3"/>
  <c r="FP44" i="3"/>
  <c r="FL45" i="3"/>
  <c r="FG44" i="3"/>
  <c r="FP67" i="3"/>
  <c r="FQ67" i="3"/>
  <c r="FI66" i="3"/>
  <c r="FP43" i="3"/>
  <c r="FG66" i="3"/>
  <c r="V11" i="2"/>
  <c r="X11" i="2"/>
  <c r="AK115" i="3"/>
  <c r="FO43" i="3"/>
  <c r="FL44" i="3"/>
  <c r="FN65" i="3"/>
  <c r="M115" i="3"/>
  <c r="AJ115" i="3"/>
  <c r="FM68" i="3"/>
  <c r="FP66" i="3"/>
  <c r="X6" i="2" l="1"/>
  <c r="X14" i="2" s="1"/>
  <c r="W6" i="2"/>
  <c r="W14" i="2" s="1"/>
  <c r="L17" i="2"/>
  <c r="GC72" i="3"/>
  <c r="FR47" i="3"/>
  <c r="E19" i="2"/>
  <c r="FG69" i="3"/>
  <c r="FS69" i="3"/>
  <c r="FL69" i="3"/>
  <c r="FF69" i="3"/>
  <c r="FV47" i="3"/>
  <c r="FU69" i="3"/>
  <c r="GC42" i="3"/>
  <c r="FV69" i="3"/>
  <c r="FQ47" i="3"/>
  <c r="FI47" i="3"/>
  <c r="FN47" i="3"/>
  <c r="GC40" i="3"/>
  <c r="FS47" i="3"/>
  <c r="FT47" i="3"/>
  <c r="FI69" i="3"/>
  <c r="FJ47" i="3"/>
  <c r="FK69" i="3"/>
  <c r="FK47" i="3"/>
  <c r="FR69" i="3"/>
  <c r="FO69" i="3"/>
  <c r="AS116" i="3"/>
  <c r="M116" i="3"/>
  <c r="AC116" i="3"/>
  <c r="FD47" i="3"/>
  <c r="GC41" i="3"/>
  <c r="FH47" i="3"/>
  <c r="FU47" i="3"/>
  <c r="FJ69" i="3"/>
  <c r="FF47" i="3"/>
  <c r="FE47" i="3"/>
  <c r="GC39" i="3"/>
  <c r="FH69" i="3"/>
  <c r="S116" i="3"/>
  <c r="FN69" i="3"/>
  <c r="Y116" i="3"/>
  <c r="FC47" i="3"/>
  <c r="P116" i="3"/>
  <c r="AO116" i="3"/>
  <c r="FM69" i="3"/>
  <c r="AG116" i="3"/>
  <c r="FM47" i="3"/>
  <c r="FO47" i="3"/>
  <c r="FG47" i="3"/>
  <c r="AK116" i="3"/>
  <c r="FT69" i="3"/>
  <c r="FP69" i="3"/>
  <c r="FQ69" i="3"/>
  <c r="FL47" i="3"/>
  <c r="FP47" i="3"/>
  <c r="AD6" i="2" l="1"/>
  <c r="AD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tc={4C172262-11B1-4C99-B115-AA54691C62CA}</author>
    <author>tc={20553FB8-D113-4599-92FF-E1EEC931C307}</author>
    <author>Microsoft Office User</author>
    <author>Ting Ting DL Li</author>
    <author>LUMINITA PENCIU</author>
    <author>Blanka Pracna</author>
    <author>tc={CD1B5D1E-56D8-46E4-9009-A93B3A53B03A}</author>
    <author>tc={EDD0656A-736C-4D53-8061-5D340BD9D519}</author>
    <author>tc={7650FA70-2C66-4DEA-805A-56B54CE193D5}</author>
    <author>tc={FCE2BA9F-BD46-44CF-B7F3-99E134BF6DF8}</author>
    <author>tc={1C33C029-EFD8-4ABB-9882-4FCCA51DFB4C}</author>
    <author>tc={F60A5D3F-1429-4C42-8702-CBA201887699}</author>
    <author>tc={D6F182B0-C65F-4989-983F-08C9175D01B5}</author>
    <author>tc={D49A11D1-43A8-4533-ADCA-31969F900902}</author>
    <author>tc={C74AD069-9F87-4DBF-B09C-7BE5C68FB9AB}</author>
    <author>tc={20A214F0-5D2E-3B4A-BA48-8EFCFE6E53EA}</author>
    <author>tc={C3663755-CF2B-4F21-AE29-887ECD26E628}</author>
    <author>tc={E4A9A443-2980-43C4-A1B9-80AB661EE6AC}</author>
    <author>tc={C6010639-D12F-0646-A46B-79F830EFE34B}</author>
    <author>tc={11F42C26-7009-234A-AD23-D944BF5265FF}</author>
    <author>tc={652740E8-935F-4DD7-A90C-20B02079C98E}</author>
    <author>tc={2A6C3EA6-D12E-2A48-ABD7-43D4D833AE33}</author>
    <author>tc={F616F2E9-ABD7-9143-A001-546A37DC2873}</author>
    <author>tc={7B398C22-14FC-9646-96EF-3660A978C2B3}</author>
    <author>tc={69E2DE49-8975-4D92-A7AC-3384E15CECE0}</author>
    <author>tc={7E7EC791-BE04-7445-AA3F-65F341280354}</author>
    <author>tc={5B43440F-2682-9E43-905B-3030FCD72B25}</author>
    <author>tc={9110F244-A02A-E948-8FD9-A85231168206}</author>
    <author>tc={5A683FDC-0F42-47D1-B15E-ABC71124B0FC}</author>
    <author>tc={64D599A9-808E-6544-86C1-8718B508F4F2}</author>
    <author>tc={D9143E40-9564-E94A-8A8E-777CE993CB42}</author>
    <author>tc={256E58F3-50A9-0346-ABE9-6E49E2F590F1}</author>
    <author>tc={81AE3AAD-C1BD-460D-AA69-BA55B453617C}</author>
    <author>tc={225DCBE1-DECC-6E4E-A140-0E689513C1AE}</author>
  </authors>
  <commentList>
    <comment ref="D2" authorId="0" shapeId="0" xr:uid="{4C172262-11B1-4C99-B115-AA54691C62CA}">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 ref="H1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Subject to normalcy of COVID-19 situation</t>
      </text>
    </comment>
    <comment ref="G81" authorId="2" shapeId="0" xr:uid="{95761036-2590-A946-B2CC-9C57A40A2A89}">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Jan-20 onboard number</t>
        </r>
      </text>
    </comment>
    <comment ref="J81" authorId="2" shapeId="0" xr:uid="{7CFCC390-21E0-7443-A4F6-7F7E7B19988B}">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 xml:space="preserve">change technical start date
</t>
        </r>
      </text>
    </comment>
    <comment ref="K81" authorId="2" shapeId="0" xr:uid="{F4595241-AB95-A544-A801-02334EB145C0}">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 xml:space="preserve">change technical training end date
</t>
        </r>
      </text>
    </comment>
    <comment ref="M81" authorId="2" shapeId="0" xr:uid="{235E829D-00E1-E84E-BB58-6B02AAEEB3E1}">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continuation training start and end date</t>
        </r>
      </text>
    </comment>
    <comment ref="N81" authorId="2" shapeId="0" xr:uid="{C9033793-74DB-2640-A353-E02A1E325BD8}">
      <text>
        <r>
          <rPr>
            <b/>
            <sz val="10"/>
            <color rgb="FF000000"/>
            <rFont val="Microsoft YaHei UI"/>
            <family val="2"/>
          </rPr>
          <t>Microsoft Office User:</t>
        </r>
        <r>
          <rPr>
            <sz val="10"/>
            <color rgb="FF000000"/>
            <rFont val="Microsoft YaHei UI"/>
            <family val="2"/>
          </rPr>
          <t>change  continuation training end date</t>
        </r>
      </text>
    </comment>
    <comment ref="S81" authorId="2" shapeId="0" xr:uid="{7A584E58-4A37-5D45-835E-F0463013E3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 based actual attenance situation.</t>
        </r>
      </text>
    </comment>
    <comment ref="T81" authorId="2" shapeId="0" xr:uid="{43AFEB1B-5719-C149-9B8E-9389B8B5D81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81" authorId="2" shapeId="0" xr:uid="{6B726597-A509-F645-AA72-F0B24936A78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AJ81" authorId="2" shapeId="0" xr:uid="{7076AB90-69D0-9045-9D33-F98914367EAE}">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discription</t>
        </r>
      </text>
    </comment>
    <comment ref="G82" authorId="2" shapeId="0" xr:uid="{80773A9C-6BCF-1647-882E-78AE746DC738}">
      <text>
        <r>
          <rPr>
            <b/>
            <sz val="10"/>
            <color rgb="FF000000"/>
            <rFont val="Microsoft YaHei UI"/>
            <family val="2"/>
          </rPr>
          <t>Microsoft Office User:</t>
        </r>
        <r>
          <rPr>
            <sz val="10"/>
            <color rgb="FF000000"/>
            <rFont val="Microsoft YaHei UI"/>
            <family val="2"/>
          </rPr>
          <t xml:space="preserve">
</t>
        </r>
        <r>
          <rPr>
            <sz val="10"/>
            <color rgb="FF000000"/>
            <rFont val="宋体"/>
            <family val="3"/>
            <charset val="134"/>
          </rPr>
          <t>change date and number</t>
        </r>
      </text>
    </comment>
    <comment ref="J82" authorId="2" shapeId="0" xr:uid="{5ACE2408-5DD5-FA4F-9147-4C8F6660D183}">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tech training start date</t>
        </r>
      </text>
    </comment>
    <comment ref="K82" authorId="2" shapeId="0" xr:uid="{2D968D35-2391-5948-A488-A7E2C8A24F17}">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 xml:space="preserve">change tech training end date
</t>
        </r>
      </text>
    </comment>
    <comment ref="S82" authorId="2" shapeId="0" xr:uid="{F63473F6-35A6-8F42-B110-A84EBCD5A03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number</t>
        </r>
      </text>
    </comment>
    <comment ref="T82" authorId="2" shapeId="0" xr:uid="{0C214FDD-021F-F74A-BB04-6B8BA7A1A53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 xml:space="preserve">change. number
</t>
        </r>
      </text>
    </comment>
    <comment ref="U82" authorId="2" shapeId="0" xr:uid="{BEF407D6-DD95-E04A-9D76-160BC45684B9}">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 xml:space="preserve">change number
</t>
        </r>
      </text>
    </comment>
    <comment ref="V82" authorId="2" shapeId="0" xr:uid="{58ECE4BE-3766-DC49-8E92-211891B0A582}">
      <text>
        <r>
          <rPr>
            <b/>
            <sz val="10"/>
            <color rgb="FF000000"/>
            <rFont val="Microsoft YaHei UI"/>
            <family val="2"/>
          </rPr>
          <t>Microsoft Office User:</t>
        </r>
        <r>
          <rPr>
            <sz val="10"/>
            <color rgb="FF000000"/>
            <rFont val="Microsoft YaHei UI"/>
            <family val="2"/>
          </rPr>
          <t xml:space="preserve">
</t>
        </r>
        <r>
          <rPr>
            <sz val="10"/>
            <color rgb="FF000000"/>
            <rFont val="宋体"/>
            <family val="3"/>
            <charset val="134"/>
          </rPr>
          <t>change number</t>
        </r>
      </text>
    </comment>
    <comment ref="AM82" authorId="2" shapeId="0" xr:uid="{F8D26107-EA0B-2D4D-B8A5-690781296D2D}">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dexcription</t>
        </r>
      </text>
    </comment>
    <comment ref="AN82" authorId="2" shapeId="0" xr:uid="{F673ADD9-D33F-44F3-84C3-7B0EFE052E01}">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dexcription</t>
        </r>
      </text>
    </comment>
    <comment ref="B83" authorId="2" shapeId="0" xr:uid="{A3D9B985-92B9-7547-A8C9-DFA64A646C0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training date from 10/19 change to 10/20</t>
        </r>
      </text>
    </comment>
    <comment ref="G83" authorId="2" shapeId="0" xr:uid="{3C61CF56-85CE-174A-8CDB-8CE62B178DD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t>
        </r>
        <r>
          <rPr>
            <sz val="10"/>
            <color rgb="FF000000"/>
            <rFont val="宋体"/>
            <family val="3"/>
            <charset val="134"/>
          </rPr>
          <t>number</t>
        </r>
      </text>
    </comment>
    <comment ref="H83" authorId="2" shapeId="0" xr:uid="{462F6252-C8C0-E346-A8DC-795CED44301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I83" authorId="2" shapeId="0" xr:uid="{749EFCE3-B587-8546-BB25-CF0872A332E1}">
      <text>
        <r>
          <rPr>
            <b/>
            <sz val="10"/>
            <color rgb="FF000000"/>
            <rFont val="Microsoft YaHei UI"/>
            <family val="2"/>
          </rPr>
          <t>Microsoft Office User:</t>
        </r>
        <r>
          <rPr>
            <sz val="10"/>
            <color rgb="FF000000"/>
            <rFont val="Microsoft YaHei UI"/>
            <family val="2"/>
          </rPr>
          <t xml:space="preserve">
</t>
        </r>
        <r>
          <rPr>
            <sz val="10"/>
            <color rgb="FF000000"/>
            <rFont val="Calibri"/>
            <family val="3"/>
            <charset val="134"/>
            <scheme val="minor"/>
          </rPr>
          <t>change date</t>
        </r>
      </text>
    </comment>
    <comment ref="J83" authorId="2" shapeId="0" xr:uid="{E5476263-74FE-004A-8ADA-FBC59616603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date
</t>
        </r>
      </text>
    </comment>
    <comment ref="R83" authorId="2" shapeId="0" xr:uid="{DFD88859-1C3B-8F42-90E1-EBB09EFE976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loc information</t>
        </r>
      </text>
    </comment>
    <comment ref="S83" authorId="2" shapeId="0" xr:uid="{14A09140-756F-EA43-82FF-3B493DDA33D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T83" authorId="2" shapeId="0" xr:uid="{55298F3F-DBFF-2C4B-824B-13AA44EBC23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83" authorId="2" shapeId="0" xr:uid="{F95DA87A-6B0E-534D-A639-65544160F24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B84" authorId="2" shapeId="0" xr:uid="{17ADCF28-4393-4B7A-B9FC-2FBC2FEF6AD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training date from 10/19 change to 10/20</t>
        </r>
      </text>
    </comment>
    <comment ref="G84" authorId="2" shapeId="0" xr:uid="{93E22E59-C3BE-F34C-B708-EB6763AD457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apply attend 1Q 2021 Induction training due to project  reason</t>
        </r>
      </text>
    </comment>
    <comment ref="H84" authorId="2" shapeId="0" xr:uid="{A0EA3E05-1D00-0F45-AE8D-27AE4C78CC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84" authorId="2" shapeId="0" xr:uid="{2FC6A926-627A-2347-A0E4-17838346224D}">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84" authorId="2" shapeId="0" xr:uid="{DB5F815E-F77F-4F27-AAD4-C2B96821020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84" authorId="2" shapeId="0" xr:uid="{FA904BCA-3597-5144-A75A-5778342CCB1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H85" authorId="2" shapeId="0" xr:uid="{4B4DEEB1-DE2B-5B4B-BC27-060344CC74A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85" authorId="2" shapeId="0" xr:uid="{446AD1B1-1D17-0945-ADC1-68B89F7368F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85" authorId="2" shapeId="0" xr:uid="{E73E5FA8-8EF5-448E-966E-B768DAD1608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85" authorId="2" shapeId="0" xr:uid="{FCE50174-2C04-D44A-B6EC-A0A7F5F6C43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T86" authorId="2" shapeId="0" xr:uid="{669A81E0-A629-4D97-9306-7CDBA831387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86" authorId="2" shapeId="0" xr:uid="{DA6F141A-E777-BB42-8B60-D1E04769914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G87" authorId="2" shapeId="0" xr:uid="{98E2782A-365F-0546-A5BC-5BECF5DFF0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informaiton: change joining date</t>
        </r>
      </text>
    </comment>
    <comment ref="H87" authorId="2" shapeId="0" xr:uid="{06BF0613-F1F3-504B-80C5-BBA3CC3640C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20th change information:change induction start date to Dec 7
</t>
        </r>
      </text>
    </comment>
    <comment ref="J87" authorId="2" shapeId="0" xr:uid="{46DB0E06-09CF-B443-AC11-0B11959C456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August 20modify information: change start date to Dec 18
</t>
        </r>
      </text>
    </comment>
    <comment ref="T87" authorId="2" shapeId="0" xr:uid="{C147954A-F8FE-41A9-9ACC-12D4E88CB59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 modify information: change EPH number to 56
</t>
        </r>
        <r>
          <rPr>
            <sz val="10"/>
            <color rgb="FF000000"/>
            <rFont val="Microsoft YaHei UI"/>
            <family val="2"/>
            <charset val="1"/>
          </rPr>
          <t>Jan 6th modify: update actual attendee number</t>
        </r>
      </text>
    </comment>
    <comment ref="V87" authorId="2" shapeId="0" xr:uid="{57B4007F-5F4E-0D4A-BA63-09B8C2875E6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 modify information: change EPH number to 56
</t>
        </r>
        <r>
          <rPr>
            <sz val="10"/>
            <color rgb="FF000000"/>
            <rFont val="Microsoft YaHei UI"/>
            <family val="2"/>
            <charset val="1"/>
          </rPr>
          <t>Jan 6th modify: update actual attendee number</t>
        </r>
      </text>
    </comment>
    <comment ref="G94" authorId="2" shapeId="0" xr:uid="{017446AB-A1BD-344D-A789-E9E38F2D8A2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Jan-15 onboard number</t>
        </r>
      </text>
    </comment>
    <comment ref="J94" authorId="2" shapeId="0" xr:uid="{B30FB8DE-EA0E-9044-9E07-1B9A01D31CB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technical training start date</t>
        </r>
      </text>
    </comment>
    <comment ref="K94" authorId="2" shapeId="0" xr:uid="{2871EF75-5B30-4440-80AE-F6C5008B8444}">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 xml:space="preserve">change technical trianing end date
</t>
        </r>
      </text>
    </comment>
    <comment ref="L94" authorId="2" shapeId="0" xr:uid="{A6AE0604-EF60-8445-A5F6-B4D4750C2344}">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the description</t>
        </r>
      </text>
    </comment>
    <comment ref="M94" authorId="2" shapeId="0" xr:uid="{31F12CAB-CD4E-4347-BC47-B93AFB2A57D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training start date</t>
        </r>
      </text>
    </comment>
    <comment ref="N94" authorId="2" shapeId="0" xr:uid="{C4B76248-30D2-214F-A4CD-61C45057B3B7}">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change training end date</t>
        </r>
      </text>
    </comment>
    <comment ref="S94" authorId="2" shapeId="0" xr:uid="{37E08D9C-BE05-7B43-AC1B-192E4676482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T94" authorId="2" shapeId="0" xr:uid="{206F9CD2-4186-C44A-9881-E3BB2A21BBB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U94" authorId="2" shapeId="0" xr:uid="{55CAFBF6-6F2E-3546-B2C5-AAEF7C3AFC7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G95" authorId="2" shapeId="0" xr:uid="{40AEDBC3-3F79-3943-9B76-38EC2778E92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 xml:space="preserve">change date and number
</t>
        </r>
      </text>
    </comment>
    <comment ref="H95" authorId="2" shapeId="0" xr:uid="{88B5A76B-A546-E44E-9C77-8FAF0DEA5C4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training start date</t>
        </r>
      </text>
    </comment>
    <comment ref="I95" authorId="2" shapeId="0" xr:uid="{2A761ED6-365D-9947-910D-E417C09F80D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training  end. date</t>
        </r>
      </text>
    </comment>
    <comment ref="M95" authorId="2" shapeId="0" xr:uid="{1040B86B-66D5-4549-B995-E41BC14B4BD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delete. date</t>
        </r>
      </text>
    </comment>
    <comment ref="N95" authorId="2" shapeId="0" xr:uid="{BC6B1100-9563-0846-8BCA-71B53D362002}">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 xml:space="preserve">delete. date
</t>
        </r>
      </text>
    </comment>
    <comment ref="S95" authorId="2" shapeId="0" xr:uid="{0D1D5AA3-5F03-4742-A801-8B4C8174B2F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actual  attendee number</t>
        </r>
      </text>
    </comment>
    <comment ref="T95" authorId="2" shapeId="0" xr:uid="{19E5B45F-37EC-9C4F-9E5C-AF593E5DDC0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 xml:space="preserve">update  actual  attendee number
</t>
        </r>
      </text>
    </comment>
    <comment ref="U95" authorId="2" shapeId="0" xr:uid="{642F9D08-8F70-3F44-B82D-8512F3A3F32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 xml:space="preserve">update  actual  attendee number
</t>
        </r>
      </text>
    </comment>
    <comment ref="V95" authorId="2" shapeId="0" xr:uid="{931BFF30-84DC-5D40-A498-58A84B21F5E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number</t>
        </r>
      </text>
    </comment>
    <comment ref="AM95" authorId="2" shapeId="0" xr:uid="{2FD5F03B-C136-CE46-A9C0-9F66E783BF9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description
</t>
        </r>
      </text>
    </comment>
    <comment ref="AN95" authorId="2" shapeId="0" xr:uid="{116789CF-B425-4043-8CFF-D89EA40E7B1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description
</t>
        </r>
      </text>
    </comment>
    <comment ref="A96" authorId="2" shapeId="0" xr:uid="{994AE1B8-79A4-E24C-97B5-F85DF25108CA}">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It's a new cohort</t>
        </r>
      </text>
    </comment>
    <comment ref="B96" authorId="2" shapeId="0" xr:uid="{8303E4F6-158A-48ED-B0F9-E83EDB20C303}">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It's a new cohort</t>
        </r>
      </text>
    </comment>
    <comment ref="AM96" authorId="2" shapeId="0" xr:uid="{DCFEAEF1-6621-7B48-B2F0-02F36416C56D}">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 xml:space="preserve">add the last comments </t>
        </r>
      </text>
    </comment>
    <comment ref="AN96" authorId="2" shapeId="0" xr:uid="{F248D2F3-9C3E-45D4-A878-944A6252230B}">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 xml:space="preserve">add the last comments </t>
        </r>
      </text>
    </comment>
    <comment ref="B97" authorId="2" shapeId="0" xr:uid="{2B88DE2A-2AC1-7F4F-9064-315EE60394ED}">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Add new row</t>
        </r>
      </text>
    </comment>
    <comment ref="G97" authorId="2" shapeId="0" xr:uid="{938E399D-0807-3A44-B91C-19C25852233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number</t>
        </r>
      </text>
    </comment>
    <comment ref="H97" authorId="2" shapeId="0" xr:uid="{C9F9A162-C184-4F4E-BB82-C28854616DC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date</t>
        </r>
      </text>
    </comment>
    <comment ref="I97" authorId="2" shapeId="0" xr:uid="{805990CE-00C0-BF40-8095-285BA7AAF66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date</t>
        </r>
      </text>
    </comment>
    <comment ref="J97" authorId="2" shapeId="0" xr:uid="{80339DA1-6AF5-284F-986F-374ACE3ACF60}">
      <text>
        <r>
          <rPr>
            <b/>
            <sz val="10"/>
            <color rgb="FF000000"/>
            <rFont val="Microsoft YaHei UI"/>
            <family val="2"/>
          </rPr>
          <t>Microsoft Office User:</t>
        </r>
        <r>
          <rPr>
            <sz val="10"/>
            <color rgb="FF000000"/>
            <rFont val="Microsoft YaHei UI"/>
            <family val="2"/>
          </rPr>
          <t xml:space="preserve">
</t>
        </r>
        <r>
          <rPr>
            <sz val="10"/>
            <color rgb="FF000000"/>
            <rFont val="Calibri"/>
            <family val="3"/>
            <charset val="134"/>
            <scheme val="minor"/>
          </rPr>
          <t>change. date</t>
        </r>
      </text>
    </comment>
    <comment ref="K97" authorId="2" shapeId="0" xr:uid="{ADA3EC0B-112A-0142-891D-D68221BB2186}">
      <text>
        <r>
          <rPr>
            <b/>
            <sz val="10"/>
            <color rgb="FF000000"/>
            <rFont val="Microsoft YaHei UI"/>
            <family val="2"/>
          </rPr>
          <t>Microsoft Office User:</t>
        </r>
        <r>
          <rPr>
            <sz val="10"/>
            <color rgb="FF000000"/>
            <rFont val="Microsoft YaHei UI"/>
            <family val="2"/>
          </rPr>
          <t xml:space="preserve">
</t>
        </r>
        <r>
          <rPr>
            <sz val="10"/>
            <color rgb="FF000000"/>
            <rFont val="Calibri"/>
            <family val="3"/>
            <charset val="134"/>
            <scheme val="minor"/>
          </rPr>
          <t>change. date</t>
        </r>
      </text>
    </comment>
    <comment ref="R97" authorId="2" shapeId="0" xr:uid="{D4A7B664-8AB5-2F4E-B596-2329F747D8C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location information</t>
        </r>
      </text>
    </comment>
    <comment ref="S97" authorId="2" shapeId="0" xr:uid="{7D5DDDF6-C343-4F48-AB9F-EC86CBF88DC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number</t>
        </r>
      </text>
    </comment>
    <comment ref="T97" authorId="2" shapeId="0" xr:uid="{C6F4115E-CA75-074F-96B5-EA940DE4E99D}">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change. number</t>
        </r>
      </text>
    </comment>
    <comment ref="U97" authorId="2" shapeId="0" xr:uid="{F09676E7-F690-C947-B7E2-3C0D839E96C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B98" authorId="2" shapeId="0" xr:uid="{A7827078-B193-44E1-B7D0-86735746523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training date from 10/19 change to 10/20</t>
        </r>
      </text>
    </comment>
    <comment ref="G98" authorId="2" shapeId="0" xr:uid="{6E307C6C-E79F-5F45-97F9-88F4E41BBE9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apply to attend 1Q2021 induction training due to project reason
</t>
        </r>
      </text>
    </comment>
    <comment ref="H98" authorId="2" shapeId="0" xr:uid="{E714FEB5-08CE-0746-9522-83A880FCBA7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98" authorId="2" shapeId="0" xr:uid="{A4FBBA26-2B99-4940-8ED6-C5F157C8867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98" authorId="2" shapeId="0" xr:uid="{9EDC45EF-97D8-4987-AF73-BE45C267946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U98" authorId="2" shapeId="0" xr:uid="{ACCE67B8-0650-954C-90C6-A29DA6849FF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T99" authorId="2" shapeId="0" xr:uid="{78A84CDB-96C6-4E15-ADE2-05115DBCF86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U99" authorId="2" shapeId="0" xr:uid="{FA4D0640-B2A7-CC46-94B8-4D3ADC86B18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H100" authorId="2" shapeId="0" xr:uid="{4F188779-80AC-0745-BBD6-DE0ED8F4962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100" authorId="2" shapeId="0" xr:uid="{A511E1C2-90FF-E741-A850-24954183A34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H101" authorId="2" shapeId="0" xr:uid="{08255784-6DF4-C941-AAF6-93052B77F2C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start date from Jul 13 to Jul 15</t>
        </r>
      </text>
    </comment>
    <comment ref="J101" authorId="2" shapeId="0" xr:uid="{F83E9EB3-0A45-5A4D-909D-89112A0880C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specialty training start date to Jul 27</t>
        </r>
      </text>
    </comment>
    <comment ref="T101" authorId="2" shapeId="0" xr:uid="{6A0BF076-F21F-47E8-BB89-60C0CD454CE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U101" authorId="2" shapeId="0" xr:uid="{C3CA441F-5216-A147-A156-A91FEEC183C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G102" authorId="2" shapeId="0" xr:uid="{BBD88045-A93C-B447-82CF-CEBA538DDD3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informatin: change OB date to Oct 11</t>
        </r>
      </text>
    </comment>
    <comment ref="H102" authorId="2" shapeId="0" xr:uid="{EF560DCE-D9A1-1A40-89A2-0A149E54D11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start date to Oct 12</t>
        </r>
      </text>
    </comment>
    <comment ref="J102" authorId="2" shapeId="0" xr:uid="{1B143627-D842-3043-B7A9-B3302CA741D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start date to Oct 23</t>
        </r>
      </text>
    </comment>
    <comment ref="T102" authorId="2" shapeId="0" xr:uid="{9C0B7D11-6CFB-4730-8C50-7FB26C68D139}">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EPH</t>
        </r>
        <r>
          <rPr>
            <sz val="10"/>
            <color rgb="FF000000"/>
            <rFont val="Microsoft YaHei UI"/>
            <family val="2"/>
            <charset val="1"/>
          </rPr>
          <t xml:space="preserve">
</t>
        </r>
        <r>
          <rPr>
            <sz val="10"/>
            <color rgb="FF000000"/>
            <rFont val="Microsoft YaHei UI"/>
            <family val="2"/>
            <charset val="1"/>
          </rPr>
          <t xml:space="preserve">JAN 6TH  MODIFY: UPDATE  EPH NUMBER
</t>
        </r>
      </text>
    </comment>
    <comment ref="U102" authorId="2" shapeId="0" xr:uid="{6F4E46AF-4BC5-BA4F-A702-44A3522DD9D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EPH</t>
        </r>
        <r>
          <rPr>
            <sz val="10"/>
            <color rgb="FF000000"/>
            <rFont val="Microsoft YaHei UI"/>
            <family val="2"/>
            <charset val="1"/>
          </rPr>
          <t xml:space="preserve">
</t>
        </r>
        <r>
          <rPr>
            <sz val="10"/>
            <color rgb="FF000000"/>
            <rFont val="Microsoft YaHei UI"/>
            <family val="2"/>
            <charset val="1"/>
          </rPr>
          <t xml:space="preserve">JAN 6TH  MODIFY: UPDATE  EPH NUMBER
</t>
        </r>
      </text>
    </comment>
    <comment ref="T103" authorId="3" shapeId="0" xr:uid="{1DC735FC-E0A5-455D-AB1C-594F40274880}">
      <text>
        <r>
          <rPr>
            <b/>
            <sz val="10"/>
            <color rgb="FF000000"/>
            <rFont val="Microsoft YaHei UI"/>
            <family val="2"/>
            <charset val="1"/>
          </rPr>
          <t>Ting Ting DL Li:</t>
        </r>
        <r>
          <rPr>
            <sz val="10"/>
            <color rgb="FF000000"/>
            <rFont val="Microsoft YaHei UI"/>
            <family val="2"/>
            <charset val="1"/>
          </rPr>
          <t xml:space="preserve">
</t>
        </r>
        <r>
          <rPr>
            <sz val="10"/>
            <color rgb="FF000000"/>
            <rFont val="Microsoft YaHei UI"/>
            <family val="2"/>
            <charset val="1"/>
          </rPr>
          <t>Jan 6th modify: update EPH number</t>
        </r>
      </text>
    </comment>
    <comment ref="U103" authorId="3" shapeId="0" xr:uid="{71B672E1-62F7-5C40-8861-7DAF9EBFB476}">
      <text>
        <r>
          <rPr>
            <b/>
            <sz val="10"/>
            <color rgb="FF000000"/>
            <rFont val="Microsoft YaHei UI"/>
            <family val="2"/>
            <charset val="1"/>
          </rPr>
          <t>Ting Ting DL Li:</t>
        </r>
        <r>
          <rPr>
            <sz val="10"/>
            <color rgb="FF000000"/>
            <rFont val="Microsoft YaHei UI"/>
            <family val="2"/>
            <charset val="1"/>
          </rPr>
          <t xml:space="preserve">
</t>
        </r>
        <r>
          <rPr>
            <sz val="10"/>
            <color rgb="FF000000"/>
            <rFont val="Microsoft YaHei UI"/>
            <family val="2"/>
            <charset val="1"/>
          </rPr>
          <t>Jan 6th modify: update EPH number</t>
        </r>
      </text>
    </comment>
    <comment ref="V130" authorId="4" shapeId="0" xr:uid="{381CFC37-F789-474E-B3D7-56C9197EF7C2}">
      <text>
        <r>
          <rPr>
            <b/>
            <sz val="9"/>
            <color indexed="81"/>
            <rFont val="Tahoma"/>
            <family val="2"/>
          </rPr>
          <t>LUMINITA PENCIU:</t>
        </r>
        <r>
          <rPr>
            <sz val="9"/>
            <color indexed="81"/>
            <rFont val="Tahoma"/>
            <family val="2"/>
          </rPr>
          <t xml:space="preserve">
from 59
</t>
        </r>
      </text>
    </comment>
    <comment ref="V131" authorId="4" shapeId="0" xr:uid="{CB33813B-606A-427E-B29D-2B2825BD0C73}">
      <text>
        <r>
          <rPr>
            <b/>
            <sz val="9"/>
            <color indexed="81"/>
            <rFont val="Tahoma"/>
            <family val="2"/>
          </rPr>
          <t>LUMINITA PENCIU:</t>
        </r>
        <r>
          <rPr>
            <sz val="9"/>
            <color indexed="81"/>
            <rFont val="Tahoma"/>
            <family val="2"/>
          </rPr>
          <t xml:space="preserve">
from 50
</t>
        </r>
      </text>
    </comment>
    <comment ref="V132" authorId="4" shapeId="0" xr:uid="{6926F3B2-61B1-4DAE-8839-B467D677A615}">
      <text>
        <r>
          <rPr>
            <b/>
            <sz val="9"/>
            <color rgb="FF000000"/>
            <rFont val="Tahoma"/>
            <family val="2"/>
          </rPr>
          <t>LUMINITA PENCIU:</t>
        </r>
        <r>
          <rPr>
            <sz val="9"/>
            <color rgb="FF000000"/>
            <rFont val="Tahoma"/>
            <family val="2"/>
          </rPr>
          <t xml:space="preserve">
</t>
        </r>
        <r>
          <rPr>
            <sz val="9"/>
            <color rgb="FF000000"/>
            <rFont val="Tahoma"/>
            <family val="2"/>
          </rPr>
          <t>from 70</t>
        </r>
      </text>
    </comment>
    <comment ref="S152" authorId="5" shapeId="0" xr:uid="{00000000-0006-0000-0100-00000A000000}">
      <text>
        <r>
          <rPr>
            <b/>
            <sz val="9"/>
            <color indexed="81"/>
            <rFont val="Tahoma"/>
            <family val="2"/>
          </rPr>
          <t>Blanka Pracna:</t>
        </r>
        <r>
          <rPr>
            <sz val="9"/>
            <color indexed="81"/>
            <rFont val="Tahoma"/>
            <family val="2"/>
          </rPr>
          <t xml:space="preserve">
class need to be delivered in Italian (number in bold is total of Italian participants)</t>
        </r>
      </text>
    </comment>
    <comment ref="V152" authorId="5" shapeId="0" xr:uid="{00000000-0006-0000-0100-00000B000000}">
      <text>
        <r>
          <rPr>
            <b/>
            <sz val="9"/>
            <color indexed="81"/>
            <rFont val="Tahoma"/>
            <family val="2"/>
          </rPr>
          <t>Blanka Pracna:</t>
        </r>
        <r>
          <rPr>
            <sz val="9"/>
            <color indexed="81"/>
            <rFont val="Tahoma"/>
            <family val="2"/>
          </rPr>
          <t xml:space="preserve">
class need to be delivered in Italian (number in bold is total of Italian participants)</t>
        </r>
      </text>
    </comment>
    <comment ref="S153" authorId="5" shapeId="0" xr:uid="{299FE13E-2C33-481F-AE00-4BBD0D722A20}">
      <text>
        <r>
          <rPr>
            <b/>
            <sz val="9"/>
            <color indexed="81"/>
            <rFont val="Tahoma"/>
            <family val="2"/>
          </rPr>
          <t>Blanka Pracna:</t>
        </r>
        <r>
          <rPr>
            <sz val="9"/>
            <color indexed="81"/>
            <rFont val="Tahoma"/>
            <family val="2"/>
          </rPr>
          <t xml:space="preserve">
class need to be delivered in Italian (number in bold is total of Italian participants)</t>
        </r>
      </text>
    </comment>
    <comment ref="V153" authorId="5" shapeId="0" xr:uid="{2FC09C0E-791A-405A-B4F1-153C6297F9E9}">
      <text>
        <r>
          <rPr>
            <b/>
            <sz val="9"/>
            <color indexed="81"/>
            <rFont val="Tahoma"/>
            <family val="2"/>
          </rPr>
          <t>Blanka Pracna:</t>
        </r>
        <r>
          <rPr>
            <sz val="9"/>
            <color indexed="81"/>
            <rFont val="Tahoma"/>
            <family val="2"/>
          </rPr>
          <t xml:space="preserve">
class need to be delivered in Italian (number in bold is total of Italian participants)</t>
        </r>
      </text>
    </comment>
    <comment ref="G154" authorId="5" shapeId="0" xr:uid="{00000000-0006-0000-0100-00000C000000}">
      <text>
        <r>
          <rPr>
            <b/>
            <sz val="9"/>
            <color indexed="81"/>
            <rFont val="Tahoma"/>
            <family val="2"/>
          </rPr>
          <t>Blanka Pracna:</t>
        </r>
        <r>
          <rPr>
            <sz val="9"/>
            <color indexed="81"/>
            <rFont val="Tahoma"/>
            <family val="2"/>
          </rPr>
          <t xml:space="preserve">
CIC NL Associates originally planned to onboard on 1 April but due to Covid19 situation/restrictions, their onboarding was defered to 1 June.</t>
        </r>
      </text>
    </comment>
    <comment ref="D177" authorId="6" shapeId="0" xr:uid="{CD1B5D1E-56D8-46E4-9009-A93B3A53B03A}">
      <text>
        <t>[Threaded comment]
Your version of Excel allows you to read this threaded comment; however, any edits to it will get removed if the file is opened in a newer version of Excel. Learn more: https://go.microsoft.com/fwlink/?linkid=870924
Comment:
    Copy pasted from TerriAnne's email</t>
      </text>
    </comment>
    <comment ref="S177" authorId="5" shapeId="0" xr:uid="{00000000-0006-0000-0100-000007000000}">
      <text>
        <r>
          <rPr>
            <b/>
            <sz val="9"/>
            <color rgb="FF000000"/>
            <rFont val="Tahoma"/>
            <family val="2"/>
          </rPr>
          <t xml:space="preserve">TerriAnne Novak: </t>
        </r>
        <r>
          <rPr>
            <sz val="9"/>
            <color rgb="FF000000"/>
            <rFont val="Tahoma"/>
            <family val="2"/>
          </rPr>
          <t xml:space="preserve">updated 24 January, class size 16l
</t>
        </r>
      </text>
    </comment>
    <comment ref="T177" authorId="5" shapeId="0" xr:uid="{00000000-0006-0000-0100-000008000000}">
      <text>
        <r>
          <rPr>
            <b/>
            <sz val="9"/>
            <color rgb="FF000000"/>
            <rFont val="Tahoma"/>
            <family val="2"/>
          </rPr>
          <t>Blanka Pracna:</t>
        </r>
        <r>
          <rPr>
            <sz val="9"/>
            <color rgb="FF000000"/>
            <rFont val="Tahoma"/>
            <family val="2"/>
          </rPr>
          <t xml:space="preserve">
</t>
        </r>
        <r>
          <rPr>
            <sz val="9"/>
            <color rgb="FF000000"/>
            <rFont val="Tahoma"/>
            <family val="2"/>
          </rPr>
          <t xml:space="preserve">Maximum number of participants in class - actual 
</t>
        </r>
        <r>
          <rPr>
            <sz val="9"/>
            <color rgb="FF000000"/>
            <rFont val="Tahoma"/>
            <family val="2"/>
          </rPr>
          <t xml:space="preserve">will be confirmed
</t>
        </r>
      </text>
    </comment>
    <comment ref="U177" authorId="5" shapeId="0" xr:uid="{00000000-0006-0000-0100-000009000000}">
      <text>
        <r>
          <rPr>
            <b/>
            <sz val="9"/>
            <color rgb="FF000000"/>
            <rFont val="Tahoma"/>
            <family val="2"/>
          </rPr>
          <t xml:space="preserve">TerriAnne Novak: </t>
        </r>
        <r>
          <rPr>
            <sz val="9"/>
            <color rgb="FF000000"/>
            <rFont val="Tahoma"/>
            <family val="2"/>
          </rPr>
          <t xml:space="preserve">updated 11 Dec, class will continue but cohort likely to be very small
</t>
        </r>
      </text>
    </comment>
    <comment ref="G377" authorId="7"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defered from June</t>
      </text>
    </comment>
    <comment ref="G378" authorId="8"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defered from June</t>
      </text>
    </comment>
    <comment ref="R427" authorId="9"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Shelly Hopper - Pilot</t>
      </text>
    </comment>
    <comment ref="D428" authorId="10" shapeId="0" xr:uid="{1C33C029-EFD8-4ABB-9882-4FCCA51DFB4C}">
      <text>
        <t>[Threaded comment]
Your version of Excel allows you to read this threaded comment; however, any edits to it will get removed if the file is opened in a newer version of Excel. Learn more: https://go.microsoft.com/fwlink/?linkid=870924
Comment:
    For March, NA did not create one 'umbrella' course code</t>
      </text>
    </comment>
    <comment ref="G430" authorId="11"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defered from June</t>
      </text>
    </comment>
    <comment ref="R445" authorId="12"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Pilot - Mike G.</t>
      </text>
    </comment>
    <comment ref="G447" authorId="13"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defered from June</t>
      </text>
    </comment>
    <comment ref="M501" authorId="14" shapeId="0" xr:uid="{C74AD069-9F87-4DBF-B09C-7BE5C68FB9AB}">
      <text>
        <t>[Threaded comment]
Your version of Excel allows you to read this threaded comment; however, any edits to it will get removed if the file is opened in a newer version of Excel. Learn more: https://go.microsoft.com/fwlink/?linkid=870924
Comment:
    On Planning
Reply:
    EDT</t>
      </text>
    </comment>
    <comment ref="N501" authorId="15" shapeId="0" xr:uid="{20A214F0-5D2E-3B4A-BA48-8EFCFE6E53EA}">
      <text>
        <t>[Threaded comment]
Your version of Excel allows you to read this threaded comment; however, any edits to it will get removed if the file is opened in a newer version of Excel. Learn more: https://go.microsoft.com/fwlink/?linkid=870924
Comment:
    AGILE</t>
      </text>
    </comment>
    <comment ref="O501" authorId="16" shapeId="0" xr:uid="{C3663755-CF2B-4F21-AE29-887ECD26E628}">
      <text>
        <t>[Threaded comment]
Your version of Excel allows you to read this threaded comment; however, any edits to it will get removed if the file is opened in a newer version of Excel. Learn more: https://go.microsoft.com/fwlink/?linkid=870924
Comment:
    AGILE</t>
      </text>
    </comment>
    <comment ref="P501" authorId="17" shapeId="0" xr:uid="{E4A9A443-2980-43C4-A1B9-80AB661EE6AC}">
      <text>
        <t>[Threaded comment]
Your version of Excel allows you to read this threaded comment; however, any edits to it will get removed if the file is opened in a newer version of Excel. Learn more: https://go.microsoft.com/fwlink/?linkid=870924
Comment:
    AGILE</t>
      </text>
    </comment>
    <comment ref="M502" authorId="18" shapeId="0" xr:uid="{C6010639-D12F-0646-A46B-79F830EFE34B}">
      <text>
        <t>[Threaded comment]
Your version of Excel allows you to read this threaded comment; however, any edits to it will get removed if the file is opened in a newer version of Excel. Learn more: https://go.microsoft.com/fwlink/?linkid=870924
Comment:
    On Planning
Reply:
    EDT</t>
      </text>
    </comment>
    <comment ref="N502" authorId="19" shapeId="0" xr:uid="{11F42C26-7009-234A-AD23-D944BF5265FF}">
      <text>
        <t>[Threaded comment]
Your version of Excel allows you to read this threaded comment; however, any edits to it will get removed if the file is opened in a newer version of Excel. Learn more: https://go.microsoft.com/fwlink/?linkid=870924
Comment:
    AGILE</t>
      </text>
    </comment>
    <comment ref="O502" authorId="20" shapeId="0" xr:uid="{652740E8-935F-4DD7-A90C-20B02079C98E}">
      <text>
        <t>[Threaded comment]
Your version of Excel allows you to read this threaded comment; however, any edits to it will get removed if the file is opened in a newer version of Excel. Learn more: https://go.microsoft.com/fwlink/?linkid=870924
Comment:
    AGILE</t>
      </text>
    </comment>
    <comment ref="P502" authorId="21" shapeId="0" xr:uid="{2A6C3EA6-D12E-2A48-ABD7-43D4D833AE33}">
      <text>
        <t>[Threaded comment]
Your version of Excel allows you to read this threaded comment; however, any edits to it will get removed if the file is opened in a newer version of Excel. Learn more: https://go.microsoft.com/fwlink/?linkid=870924
Comment:
    AGILE</t>
      </text>
    </comment>
    <comment ref="M503" authorId="22" shapeId="0" xr:uid="{F616F2E9-ABD7-9143-A001-546A37DC2873}">
      <text>
        <t>[Threaded comment]
Your version of Excel allows you to read this threaded comment; however, any edits to it will get removed if the file is opened in a newer version of Excel. Learn more: https://go.microsoft.com/fwlink/?linkid=870924
Comment:
    On Planning
Reply:
    EDT</t>
      </text>
    </comment>
    <comment ref="N503" authorId="23" shapeId="0" xr:uid="{7B398C22-14FC-9646-96EF-3660A978C2B3}">
      <text>
        <t>[Threaded comment]
Your version of Excel allows you to read this threaded comment; however, any edits to it will get removed if the file is opened in a newer version of Excel. Learn more: https://go.microsoft.com/fwlink/?linkid=870924
Comment:
    AGILE</t>
      </text>
    </comment>
    <comment ref="O503" authorId="24" shapeId="0" xr:uid="{69E2DE49-8975-4D92-A7AC-3384E15CECE0}">
      <text>
        <t>[Threaded comment]
Your version of Excel allows you to read this threaded comment; however, any edits to it will get removed if the file is opened in a newer version of Excel. Learn more: https://go.microsoft.com/fwlink/?linkid=870924
Comment:
    AGILE</t>
      </text>
    </comment>
    <comment ref="P503" authorId="25" shapeId="0" xr:uid="{7E7EC791-BE04-7445-AA3F-65F341280354}">
      <text>
        <t>[Threaded comment]
Your version of Excel allows you to read this threaded comment; however, any edits to it will get removed if the file is opened in a newer version of Excel. Learn more: https://go.microsoft.com/fwlink/?linkid=870924
Comment:
    AGILE</t>
      </text>
    </comment>
    <comment ref="M504" authorId="26" shapeId="0" xr:uid="{5B43440F-2682-9E43-905B-3030FCD72B25}">
      <text>
        <t>[Threaded comment]
Your version of Excel allows you to read this threaded comment; however, any edits to it will get removed if the file is opened in a newer version of Excel. Learn more: https://go.microsoft.com/fwlink/?linkid=870924
Comment:
    On Planning
Reply:
    EDT</t>
      </text>
    </comment>
    <comment ref="N504" authorId="27" shapeId="0" xr:uid="{9110F244-A02A-E948-8FD9-A85231168206}">
      <text>
        <t>[Threaded comment]
Your version of Excel allows you to read this threaded comment; however, any edits to it will get removed if the file is opened in a newer version of Excel. Learn more: https://go.microsoft.com/fwlink/?linkid=870924
Comment:
    AGILE</t>
      </text>
    </comment>
    <comment ref="O504" authorId="28" shapeId="0" xr:uid="{5A683FDC-0F42-47D1-B15E-ABC71124B0FC}">
      <text>
        <t>[Threaded comment]
Your version of Excel allows you to read this threaded comment; however, any edits to it will get removed if the file is opened in a newer version of Excel. Learn more: https://go.microsoft.com/fwlink/?linkid=870924
Comment:
    AGILE</t>
      </text>
    </comment>
    <comment ref="P504" authorId="29" shapeId="0" xr:uid="{64D599A9-808E-6544-86C1-8718B508F4F2}">
      <text>
        <t>[Threaded comment]
Your version of Excel allows you to read this threaded comment; however, any edits to it will get removed if the file is opened in a newer version of Excel. Learn more: https://go.microsoft.com/fwlink/?linkid=870924
Comment:
    AGILE</t>
      </text>
    </comment>
    <comment ref="M505" authorId="30" shapeId="0" xr:uid="{D9143E40-9564-E94A-8A8E-777CE993CB42}">
      <text>
        <t>[Threaded comment]
Your version of Excel allows you to read this threaded comment; however, any edits to it will get removed if the file is opened in a newer version of Excel. Learn more: https://go.microsoft.com/fwlink/?linkid=870924
Comment:
    On Planning
Reply:
    EDT</t>
      </text>
    </comment>
    <comment ref="N505" authorId="31" shapeId="0" xr:uid="{256E58F3-50A9-0346-ABE9-6E49E2F590F1}">
      <text>
        <t>[Threaded comment]
Your version of Excel allows you to read this threaded comment; however, any edits to it will get removed if the file is opened in a newer version of Excel. Learn more: https://go.microsoft.com/fwlink/?linkid=870924
Comment:
    AGILE</t>
      </text>
    </comment>
    <comment ref="O505" authorId="32" shapeId="0" xr:uid="{81AE3AAD-C1BD-460D-AA69-BA55B453617C}">
      <text>
        <t>[Threaded comment]
Your version of Excel allows you to read this threaded comment; however, any edits to it will get removed if the file is opened in a newer version of Excel. Learn more: https://go.microsoft.com/fwlink/?linkid=870924
Comment:
    AGILE</t>
      </text>
    </comment>
    <comment ref="P505" authorId="33" shapeId="0" xr:uid="{225DCBE1-DECC-6E4E-A140-0E689513C1AE}">
      <text>
        <t>[Threaded comment]
Your version of Excel allows you to read this threaded comment; however, any edits to it will get removed if the file is opened in a newer version of Excel. Learn more: https://go.microsoft.com/fwlink/?linkid=870924
Comment:
    AGILE</t>
      </text>
    </comment>
    <comment ref="K507" authorId="2" shapeId="0" xr:uid="{94343DC7-9431-FC47-96BF-862C1EF188BB}">
      <text>
        <r>
          <rPr>
            <b/>
            <sz val="10"/>
            <color rgb="FF000000"/>
            <rFont val="Yu Gothic UI"/>
            <family val="2"/>
          </rPr>
          <t>It is different from each specialty truck. The longest truck is end at Aug 6th.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33" authorId="0" shapeId="0" xr:uid="{253D94E8-9DB3-D94B-BF5E-925CFF15986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participant number</t>
        </r>
      </text>
    </comment>
    <comment ref="F34" authorId="0" shapeId="0" xr:uid="{FEAA7698-5889-4446-A5EB-05DAD216EEE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participant number</t>
        </r>
      </text>
    </comment>
    <comment ref="F35" authorId="0" shapeId="0" xr:uid="{6880CDA0-BCBF-0F41-8387-49AEE7B72F7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actual enroll number</t>
        </r>
      </text>
    </comment>
    <comment ref="I35" authorId="0" shapeId="0" xr:uid="{28331A6A-2CEB-7043-9B1F-91D55B23C5F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update the deliver date
</t>
        </r>
      </text>
    </comment>
    <comment ref="F36" authorId="0" shapeId="0" xr:uid="{669D80CF-FB4E-8D42-859D-BEB817111EA2}">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actual enroll number</t>
        </r>
      </text>
    </comment>
    <comment ref="I36" authorId="0" shapeId="0" xr:uid="{32DA3EEF-CA8B-BB4A-8F11-A536B8A9302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the deliver date</t>
        </r>
      </text>
    </comment>
    <comment ref="D39" authorId="0" shapeId="0" xr:uid="{970A3A1A-59CB-0D46-AD5A-6FDC8C3B89C0}">
      <text>
        <r>
          <rPr>
            <b/>
            <sz val="10"/>
            <color rgb="FF000000"/>
            <rFont val="Microsoft YaHei UI"/>
            <family val="2"/>
            <charset val="1"/>
          </rPr>
          <t>Microsoft Office User:</t>
        </r>
        <r>
          <rPr>
            <sz val="10"/>
            <color rgb="FF000000"/>
            <rFont val="Microsoft YaHei UI"/>
            <family val="2"/>
            <charset val="1"/>
          </rPr>
          <t xml:space="preserve">Aug 24 update: change start date. Sep 28 update start date
</t>
        </r>
      </text>
    </comment>
    <comment ref="F39" authorId="0" shapeId="0" xr:uid="{3EE21E2E-F766-8F45-A853-8BAD56C0A98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update: change target number</t>
        </r>
        <r>
          <rPr>
            <sz val="10"/>
            <color rgb="FF000000"/>
            <rFont val="Microsoft YaHei UI"/>
            <family val="2"/>
            <charset val="1"/>
          </rPr>
          <t xml:space="preserve">
</t>
        </r>
        <r>
          <rPr>
            <sz val="10"/>
            <color rgb="FF000000"/>
            <rFont val="Microsoft YaHei UI"/>
            <family val="2"/>
            <charset val="1"/>
          </rPr>
          <t>Jan 6 update: change target number to 75</t>
        </r>
      </text>
    </comment>
    <comment ref="I39" authorId="0" shapeId="0" xr:uid="{045F77C7-A1E8-354C-9061-AFB2803A47E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24th update:change session date to Nov 5&amp;6</t>
        </r>
      </text>
    </comment>
    <comment ref="D40" authorId="0" shapeId="0" xr:uid="{9F31974F-C01F-D34D-B33E-47C65F16515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24th update: change  start date
</t>
        </r>
        <r>
          <rPr>
            <sz val="10"/>
            <color rgb="FF000000"/>
            <rFont val="Microsoft YaHei UI"/>
            <family val="2"/>
            <charset val="1"/>
          </rPr>
          <t xml:space="preserve">Jan 6th update: change start date to Dec 4th
</t>
        </r>
      </text>
    </comment>
    <comment ref="F40" authorId="0" shapeId="0" xr:uid="{D434E9C3-0571-0342-8B9B-52AF52DA3FD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upadte: change target number</t>
        </r>
        <r>
          <rPr>
            <sz val="10"/>
            <color rgb="FF000000"/>
            <rFont val="Microsoft YaHei UI"/>
            <family val="2"/>
            <charset val="1"/>
          </rPr>
          <t xml:space="preserve">
</t>
        </r>
        <r>
          <rPr>
            <sz val="10"/>
            <color rgb="FF000000"/>
            <rFont val="Microsoft YaHei UI"/>
            <family val="2"/>
            <charset val="1"/>
          </rPr>
          <t>Jan 6 update: channge target number to 79</t>
        </r>
      </text>
    </comment>
    <comment ref="I40" authorId="0" shapeId="0" xr:uid="{6534069B-A32E-4840-B4C1-E0E8A851B4D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udpate: change SAE date to Dec 3&amp;4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tc={145251C0-6AC6-4A43-BF10-0ABDAD318AA9}</author>
    <author>tc={17714357-1D83-47EA-AF84-B689C8F71EC7}</author>
  </authors>
  <commentList>
    <comment ref="B2" authorId="0" shapeId="0" xr:uid="{145251C0-6AC6-4A43-BF10-0ABDAD318AA9}">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 ref="B3" authorId="1" shapeId="0" xr:uid="{17714357-1D83-47EA-AF84-B689C8F71EC7}">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List>
</comments>
</file>

<file path=xl/sharedStrings.xml><?xml version="1.0" encoding="utf-8"?>
<sst xmlns="http://schemas.openxmlformats.org/spreadsheetml/2006/main" count="9933" uniqueCount="1707">
  <si>
    <t>Legacy induction + tech learning not on SMARTER roadmap</t>
  </si>
  <si>
    <t>New induction + tech learning not on SMARTER roadmap</t>
  </si>
  <si>
    <t>Legacy induction + tech learning on SMARTER Roadmap</t>
  </si>
  <si>
    <t>New induction + tech learning on SMARTER Roadmap</t>
  </si>
  <si>
    <t>Unique Identifier by Cohort - OLD</t>
  </si>
  <si>
    <t>Unique Identifier by Cohort - NEW - yyyy_mm_dd_alphabet</t>
  </si>
  <si>
    <t>Existing Cohort Name per 485f report in LKDM</t>
  </si>
  <si>
    <t>Class Code</t>
  </si>
  <si>
    <t>Pilot vs Subsequent Rollout</t>
  </si>
  <si>
    <t>Geo/CIC/Combination of Geo + CIC</t>
  </si>
  <si>
    <t>Date of Joining IBM</t>
  </si>
  <si>
    <t>Induction Start Date</t>
  </si>
  <si>
    <t>Induction End Date</t>
  </si>
  <si>
    <t>Associate Specialty Training Start Date</t>
  </si>
  <si>
    <t>Associate Specialty Training End Date</t>
  </si>
  <si>
    <t>Project Start Date</t>
  </si>
  <si>
    <t>Continuation of 10 day Induction Training Start Date if Applicable</t>
  </si>
  <si>
    <t>Continuation 10 day Induction Training End Date If Applicable</t>
  </si>
  <si>
    <t>2nd Continuation of 10 day Induction Training Start Date if Applicable</t>
  </si>
  <si>
    <t>2nd Continuation 10 day Induction Training End Date If Applicable</t>
  </si>
  <si>
    <t>Quarter</t>
  </si>
  <si>
    <t>Market Location (City, Country,# of Associates)</t>
  </si>
  <si>
    <t># of EPH in Cohort</t>
  </si>
  <si>
    <t>Maximum Cohort size</t>
  </si>
  <si>
    <t># of EPH from GEO in Cohort</t>
  </si>
  <si>
    <t># of EPH from CIC in Cohort</t>
  </si>
  <si>
    <t>JR&amp;S</t>
  </si>
  <si>
    <t>Instructor</t>
  </si>
  <si>
    <t>Key Milestones (Pilot or Others)</t>
  </si>
  <si>
    <t>Batch On-Boarding Status (Based on date of joining IBM)</t>
  </si>
  <si>
    <t>Overall Status (Complete, In Progress, Tentative, or Planned)</t>
  </si>
  <si>
    <t xml:space="preserve"> Status of entire 10 Day Induction curriculum training or first part  (Complete, In Progress, Tentative, or Planned) as applicable</t>
  </si>
  <si>
    <t>Status of continuation of 10 Day Induction training (Complete, In Progress, Tentative, or Planned) if applicable</t>
  </si>
  <si>
    <t>Status of entire Technical training (Complete, In Progress, Tentative, or Planned)</t>
  </si>
  <si>
    <t xml:space="preserve">Status of Continued Learning  (Complete, In Progress, Tentative, or Planned) </t>
  </si>
  <si>
    <t xml:space="preserve">Status of Milestone event(Complete, In Progress, Tentative, or Planned) </t>
  </si>
  <si>
    <t>10 day Induction Content</t>
  </si>
  <si>
    <t>Modality of entire 10 day Induction training</t>
  </si>
  <si>
    <t>Modality of Continuation of 10 day Induction Training If Applicable</t>
  </si>
  <si>
    <t>Modality of Techincal Training</t>
    <phoneticPr fontId="10"/>
  </si>
  <si>
    <t>NPS</t>
  </si>
  <si>
    <t>Deviation from Standard Framework (exception approval requested)</t>
  </si>
  <si>
    <t>Hire Type</t>
  </si>
  <si>
    <t>Notes</t>
  </si>
  <si>
    <t>CIC_India_14_Jan_2020_1</t>
  </si>
  <si>
    <t>CIC_India_2020_01_14_a</t>
  </si>
  <si>
    <t>CIC India</t>
  </si>
  <si>
    <t>For</t>
  </si>
  <si>
    <t>Not Applicable</t>
  </si>
  <si>
    <t>Q1</t>
  </si>
  <si>
    <t>Bangalore, India</t>
  </si>
  <si>
    <t xml:space="preserve">L&amp;K </t>
  </si>
  <si>
    <t>Complete</t>
  </si>
  <si>
    <t>In Progress</t>
  </si>
  <si>
    <t>Planned</t>
  </si>
  <si>
    <t>Legacy CIC</t>
  </si>
  <si>
    <t>F2F</t>
  </si>
  <si>
    <t>No Deviation</t>
  </si>
  <si>
    <t>5 associates not active (left IBM )(chabakka@in.ibm.com,maykum91@in.ibm.com,pellanki@in.ibm.com,ronpatel@in.ibm.com,vishku91@in.ibm.com)</t>
  </si>
  <si>
    <t>If col AR having count more than 1 it means the cohort name is duplicates</t>
  </si>
  <si>
    <t>CIC_India_22_Jan_2020_1</t>
  </si>
  <si>
    <t>CIC_India_2020_01_22_a</t>
  </si>
  <si>
    <t>1 associates not active (left IBM )(shrey876@in.ibm.com)</t>
  </si>
  <si>
    <t>CIC_India_27_Jan_2020_1</t>
  </si>
  <si>
    <t>CIC_India_2020_01_27_a</t>
  </si>
  <si>
    <t>CIC_India_17_Feb_2020_1</t>
  </si>
  <si>
    <t>CIC_India_2020_02_17_a</t>
  </si>
  <si>
    <t>CIC_India_24_Feb_2020_1</t>
  </si>
  <si>
    <t>CIC_India_2020_02_24_a</t>
  </si>
  <si>
    <t>19 Feb 2020 and 24 Feb 2020</t>
  </si>
  <si>
    <t>CIC_India_26_Feb_2020_1</t>
  </si>
  <si>
    <t>CIC_India_2020_02_26_a</t>
  </si>
  <si>
    <t>26 Feb 2020 and 27 Feb 2020</t>
  </si>
  <si>
    <t>CIC_India_09_Mar_2020_1</t>
  </si>
  <si>
    <t>CIC_India_2020_03_09_a</t>
  </si>
  <si>
    <t>1 associate not active -left IBM (nmanvith@in.ibm.com),2 more associates  to be added by Class managers as Induction Training attended(assemwal@in.ibm.com,prabchha@in.ibm.com)</t>
  </si>
  <si>
    <t>CIC_India_2020_03_16_a</t>
  </si>
  <si>
    <t xml:space="preserve">45 associates records to be created by Class managers </t>
  </si>
  <si>
    <t>CIC_India_06_Apr_2020_1</t>
  </si>
  <si>
    <t>CIC_India_2020_04_06_a</t>
  </si>
  <si>
    <t>Pilot</t>
  </si>
  <si>
    <t>11 March, 16 March and 23 March 2020</t>
  </si>
  <si>
    <t>Q2</t>
  </si>
  <si>
    <t xml:space="preserve">Pallavi Kiran + 2 Vendor trainers +5 Business Facilitators </t>
  </si>
  <si>
    <t xml:space="preserve">Pilot Planned and completed </t>
  </si>
  <si>
    <t>New GBS Associates Induction</t>
  </si>
  <si>
    <t>Virtual</t>
  </si>
  <si>
    <t xml:space="preserve">Delivered Virtually </t>
  </si>
  <si>
    <t>1 more associates to be added by Class managers as Induction Training attended (dixharsh@in.ibm.com)</t>
  </si>
  <si>
    <t xml:space="preserve">CIC_India_05_Aug_2020_1     </t>
  </si>
  <si>
    <t>CIC_India_2020_08_17_a</t>
  </si>
  <si>
    <t>Subsequent Rollout</t>
  </si>
  <si>
    <t>03 Aug 2020 and 05 Aug 2020</t>
  </si>
  <si>
    <t>Q3</t>
  </si>
  <si>
    <t xml:space="preserve">2L&amp;K and  8 Business Facilitators </t>
  </si>
  <si>
    <t xml:space="preserve">03-Aug : 12 MBA Hires (joined already) 05-Aug :  16 MBA Hires </t>
  </si>
  <si>
    <t>CIC_India_17_Aug_2020_2</t>
  </si>
  <si>
    <t>CIC_India_2020_08_24_a</t>
  </si>
  <si>
    <t xml:space="preserve">10-Aug: 28 Engg. Hires (Expected) </t>
  </si>
  <si>
    <t>CIC_India_07_Sep_2020_1</t>
  </si>
  <si>
    <t>CIC_India_2020_09_17_a</t>
  </si>
  <si>
    <t>07-09-2020 and 09-09-2020</t>
  </si>
  <si>
    <t>Few updates have been highlighted in yellow.Please note these are tentative dates  and confirmed dates would be updated based on actual onboardings  and technical JRSS assignment.
It should be noted for few onboardings in Q1 ,we have run the legacy programs where the 10 days is not applicable
Also , the technical duration can exceed 6 week based on JRSS allocated .
Actual onboarding dates and numbers  may change  if there is any change in Onboarding plan by RCM at last minute based on Business demands</t>
  </si>
  <si>
    <t>CIC_India_05_Oct_2020_1</t>
  </si>
  <si>
    <t>CIC_India_2020_10_05_a</t>
  </si>
  <si>
    <t>24 Sept and 28 Sept</t>
  </si>
  <si>
    <t>Q4</t>
  </si>
  <si>
    <t>CIC_India_05_Oct_2020_2</t>
  </si>
  <si>
    <t>CIC_India_2020_10_19_a</t>
  </si>
  <si>
    <t>CIC_India_19_Oct_2020_1</t>
  </si>
  <si>
    <t>CIC_India_2020_10_27_a</t>
  </si>
  <si>
    <t xml:space="preserve">19 Oct and 20 Oct </t>
  </si>
  <si>
    <t>CIC_India_02_Nov_2020_1</t>
  </si>
  <si>
    <t>CIC_India_2020_11_09_a</t>
  </si>
  <si>
    <t>CIC_India_2020_11_30_a</t>
  </si>
  <si>
    <t xml:space="preserve">18 Nov and 23 Nov </t>
  </si>
  <si>
    <t>CIC_India_2020_12_07_a</t>
  </si>
  <si>
    <t>CIC_India_2020_12_10_a</t>
  </si>
  <si>
    <t>CIC_India_2021_01_04_a</t>
  </si>
  <si>
    <t>CIC_India_2021_01_11_a</t>
  </si>
  <si>
    <t>10096427                           10096421</t>
  </si>
  <si>
    <t>1/4/5/6 Jan,21</t>
  </si>
  <si>
    <t>CIC_India_2021_01_18_a</t>
  </si>
  <si>
    <t>11th &amp; 13th Jan,21</t>
  </si>
  <si>
    <t>CIC_India_2021_01_27_a</t>
  </si>
  <si>
    <t>18th-21st Jan,21</t>
  </si>
  <si>
    <t>CIC_India_2021_02_01_a</t>
  </si>
  <si>
    <t>25th-27th Jan,21</t>
  </si>
  <si>
    <t>CIC_India_2021_02_08_a</t>
  </si>
  <si>
    <t>01st-03rd Feb,21</t>
  </si>
  <si>
    <t>CIC_India_2021_02_15_a</t>
  </si>
  <si>
    <t>08th Feb,21</t>
  </si>
  <si>
    <t>CIC_India_2021_02_22_a</t>
  </si>
  <si>
    <t>15th Feb,21</t>
  </si>
  <si>
    <t>CIC_India_2021_03_08_a</t>
  </si>
  <si>
    <t>01st Mar,21</t>
  </si>
  <si>
    <t>CIC_India_2021_03_22_a</t>
  </si>
  <si>
    <t>15th-17th Mar,21</t>
  </si>
  <si>
    <t>CIC_India_2021_04_12_a</t>
  </si>
  <si>
    <t>24th Mar-5th-7th Apr-21</t>
  </si>
  <si>
    <t>CIC_India_2021_04_19_a</t>
  </si>
  <si>
    <t>12th-14th Apr,21</t>
  </si>
  <si>
    <t>CIC_India_2021_04_26_a</t>
  </si>
  <si>
    <t>19th-21st Apr,21</t>
  </si>
  <si>
    <t>CIC_India_2021_05_03_a</t>
  </si>
  <si>
    <t>24th-26th-28th Apr,21</t>
  </si>
  <si>
    <t>CIC_India_2021_05_24_a</t>
  </si>
  <si>
    <t>10th-17th-19th-20th May,21</t>
  </si>
  <si>
    <t>CIC_India_2021_05_31_a</t>
  </si>
  <si>
    <t>10102522     10102523</t>
  </si>
  <si>
    <t>24th-26th May,21</t>
  </si>
  <si>
    <t>CIC_India_2021_06_14_a</t>
  </si>
  <si>
    <t>10103173    10103178</t>
  </si>
  <si>
    <t>7th-8th Jun,21</t>
  </si>
  <si>
    <t>CIC_India_2021_06_28_a</t>
  </si>
  <si>
    <t>10103695    10103694</t>
  </si>
  <si>
    <t>21st-23rd-25th Jun,21</t>
  </si>
  <si>
    <t>CIC_India_2021_07_12_a</t>
  </si>
  <si>
    <t>10104282     10104278</t>
  </si>
  <si>
    <t>5th-7th Jul,21</t>
  </si>
  <si>
    <t>CIC_India_2021_07_26_a</t>
  </si>
  <si>
    <t>10104858    10104857</t>
  </si>
  <si>
    <t>14th- 19th Jul,21</t>
  </si>
  <si>
    <t>CIC_India_2021_08_09_a</t>
  </si>
  <si>
    <t>10105236     10104707</t>
  </si>
  <si>
    <t>2nd Aug,21</t>
  </si>
  <si>
    <t>CIC_India_2021_08_16_a</t>
  </si>
  <si>
    <t>10105367    10105360</t>
  </si>
  <si>
    <t>09th Aug,21</t>
  </si>
  <si>
    <t>CIC_India_2021_08_23_a</t>
  </si>
  <si>
    <t>10105506    10105505</t>
  </si>
  <si>
    <t>16th Aug,21</t>
  </si>
  <si>
    <t>CIC_India_2021_08_31_a</t>
  </si>
  <si>
    <t>10105607    10105606</t>
  </si>
  <si>
    <t>23rd Aug,21</t>
  </si>
  <si>
    <t>CIC_India_2021_09_20_a</t>
  </si>
  <si>
    <t xml:space="preserve">10105742
10105741                              </t>
  </si>
  <si>
    <t>13th Sep,21</t>
  </si>
  <si>
    <t>CIC_India_2021_10_04_a</t>
  </si>
  <si>
    <t>10221354    10221384</t>
  </si>
  <si>
    <t>25th-27th Sep,21</t>
  </si>
  <si>
    <t>CIC_India_2021_10_18_a</t>
  </si>
  <si>
    <t>10224578     10224467</t>
  </si>
  <si>
    <t>11th Oct,21</t>
  </si>
  <si>
    <t>CIC_India_2021_10_25_a</t>
  </si>
  <si>
    <t>18th Oct,21</t>
  </si>
  <si>
    <t>CIC_India_2021_11_15_a</t>
  </si>
  <si>
    <t xml:space="preserve">  10230469                                                   10231755</t>
  </si>
  <si>
    <t>08th Nov,21</t>
  </si>
  <si>
    <t>CIC_India_2021_11_22_a</t>
  </si>
  <si>
    <t>10241314                                10229857    10230865</t>
  </si>
  <si>
    <t>15th-17th Nov,21</t>
  </si>
  <si>
    <t>CIC_India_2022_01_24_a</t>
  </si>
  <si>
    <t>17th Jan,22</t>
  </si>
  <si>
    <t>CIC_India_2022_02_14_a</t>
  </si>
  <si>
    <t>7th-9th Feb,22</t>
  </si>
  <si>
    <t>CIC_India_2022_03_28_a</t>
  </si>
  <si>
    <t>CIC_India_2022_04_04_a</t>
  </si>
  <si>
    <t>CIC_India_2022_04_25_a</t>
  </si>
  <si>
    <t>CIC_India_2022_05_02_a</t>
  </si>
  <si>
    <t>CIC_India_2022_05_16_a</t>
  </si>
  <si>
    <t>CIC_India_2022_05_23_a</t>
  </si>
  <si>
    <t>CIC_India_2022_05_30_a</t>
  </si>
  <si>
    <t>CIC_India_2022_06_06_a</t>
  </si>
  <si>
    <t>CIC_India_2022_06_13_a</t>
  </si>
  <si>
    <t>CIC_India_2022_06_20_a</t>
  </si>
  <si>
    <t>CIC_India_2022_06_27_a</t>
  </si>
  <si>
    <t>CIC_India_2022_07_11_a</t>
  </si>
  <si>
    <t>CIC_India_2022_07_25_a</t>
  </si>
  <si>
    <t>CIC_India_2022_08_08_a</t>
  </si>
  <si>
    <t>NA</t>
  </si>
  <si>
    <t>CIC_India_2022_08_22_a</t>
  </si>
  <si>
    <t>CIC_India_2022_09_05_a</t>
  </si>
  <si>
    <t>CIC_India_2022_09_19_a</t>
  </si>
  <si>
    <t>CIC_India_2022_10_10_a</t>
  </si>
  <si>
    <t>CIC_India_2022_11_07_a</t>
  </si>
  <si>
    <t>CIC_India_2022_11_21_a</t>
  </si>
  <si>
    <t>CIC_India_2022_12_12_a</t>
  </si>
  <si>
    <t>5th, 12th &amp; 13th Dec</t>
  </si>
  <si>
    <t>CIC_India_2023_01_16_a</t>
  </si>
  <si>
    <t>10330214                           10332332</t>
  </si>
  <si>
    <t>CIC_India_2023_01_23_a</t>
  </si>
  <si>
    <t>CIC_India_2023_02_06_a</t>
  </si>
  <si>
    <t>Total Planned</t>
  </si>
  <si>
    <t>Total Tentative</t>
  </si>
  <si>
    <t>Total</t>
  </si>
  <si>
    <t>CIC_China_20_May_2020_1</t>
  </si>
  <si>
    <t>CIC_China_2020_05_20_a</t>
  </si>
  <si>
    <t>GCG_CIC_June</t>
  </si>
  <si>
    <t>10083376
10083378
10083380
10083382
10086651
10086650</t>
    <phoneticPr fontId="10"/>
  </si>
  <si>
    <t>CIC China</t>
  </si>
  <si>
    <t>Jan-20,Feb-8,Mar-8,Apr-12, CIC number46=18+8+8+12</t>
    <phoneticPr fontId="10"/>
  </si>
  <si>
    <t>Due to COVID-19, 2020 Associates onboard dates are distrubite on each month through all year</t>
    <phoneticPr fontId="10"/>
  </si>
  <si>
    <t>China，DL</t>
    <phoneticPr fontId="10"/>
  </si>
  <si>
    <t>Virtual</t>
    <phoneticPr fontId="10"/>
  </si>
  <si>
    <t>follow global design to take self-learning of tech technical training</t>
  </si>
  <si>
    <t xml:space="preserve">1. Induction spread across 2 or more segments
2. Shorter Induction duration
3. Technical education not consecutively following induction
4. Induction and Technical learning running concurrently
</t>
  </si>
  <si>
    <t xml:space="preserve">1. For 1H Associates, 3 days of virtual  training have delivered in May and 5 days second stage virtual sessions in 3Q.
2. The content of the 8 day is based on global content and de-duplicate the content of 1-day pre-onboarding class, which we ran for the Associates impacted by COVID-19 and can't attend Induction training in Q1. The adjustment we did is de-duplication, not de-selection from global content. 
3. Though the total training day is 8 day, the actual learning hours (including self-paced e-learning + Instructor-led virtual class) are more than 80 hours. In global- designed agenda, almost 1.5hr of  self-paced e-learning from 11:00 - 12:30 in every day. We expect Associates to interact with instructors in class. Therefore we move the 1.5 hour self-paced e-learning off-line and ask the Associates to complete and get badge prior to the virtual class.
4. All the adjustment was made in Apr. in response to COVID-19 outbreak, and they were reviewed with GCG Associates Steering Committee. From Q3, the Induction training will get to global model. 10 consecutive days of virtual class of Induction training is planed and will be conducted. The tech training will be followed immediately after Induction training. 
</t>
    <phoneticPr fontId="10"/>
  </si>
  <si>
    <t>CIC_China_28_Jul_2020_1</t>
  </si>
  <si>
    <t>CIC_China_2020_07_28_a</t>
  </si>
  <si>
    <t xml:space="preserve">10086346
10086348
10086350
10086352
10086357
10086359
10086379(Survey)
</t>
  </si>
  <si>
    <t>CIC China</t>
    <phoneticPr fontId="10"/>
  </si>
  <si>
    <t>Jun-8,Jul-20,CIC Number16=1+15</t>
    <phoneticPr fontId="10"/>
  </si>
  <si>
    <t>Aug. 2020</t>
    <phoneticPr fontId="10"/>
  </si>
  <si>
    <t>China，SH,DL,CD</t>
  </si>
  <si>
    <t>Technical learning and project running concurrently</t>
  </si>
  <si>
    <t>Most Associates are from Intermin, carry projects from Intermin.
Associates will be attending weekend training</t>
  </si>
  <si>
    <t>CIC_China_19_Oct_2020_1</t>
  </si>
  <si>
    <t>CIC_China_2020_10_20_a</t>
  </si>
  <si>
    <t>10091129
10091130
10091131
10091132
10091133
10091134
10091128 (survey)</t>
  </si>
  <si>
    <t>Feb-2,Mar-2,Apr-1,Jul-2,Aug-9, Sep-12, Oct-123</t>
    <phoneticPr fontId="10"/>
  </si>
  <si>
    <t>Due to COVID-19, 2020 2H Associates onboard date distrubite on each month, including July, Aug. Sep. Oct. Nov.Dec.</t>
    <phoneticPr fontId="10"/>
  </si>
  <si>
    <t>China，DL..5Locs</t>
    <phoneticPr fontId="10"/>
  </si>
  <si>
    <t>follow global design to take self-learning of tech technical training</t>
    <phoneticPr fontId="10"/>
  </si>
  <si>
    <t>CIC_China_2021_03_10_a</t>
  </si>
  <si>
    <t>10097302
10097304
10097306
10097308
10097312
10097310
10097299(survey)</t>
  </si>
  <si>
    <t>Mar,2021</t>
    <phoneticPr fontId="10"/>
  </si>
  <si>
    <t>Oct,2020</t>
    <phoneticPr fontId="10"/>
  </si>
  <si>
    <t>DL</t>
    <phoneticPr fontId="10"/>
  </si>
  <si>
    <t>Complete</t>
    <phoneticPr fontId="10"/>
  </si>
  <si>
    <t>No Deviation</t>
    <phoneticPr fontId="10"/>
  </si>
  <si>
    <t>CIC_China_2021_05_18_a</t>
  </si>
  <si>
    <t>10101333
10101334
10101335
10101336
10101337
10101338
10101339 (survey)</t>
  </si>
  <si>
    <t>Mar,2021</t>
  </si>
  <si>
    <t>the cohort name should be CIC not GEO</t>
    <phoneticPr fontId="10"/>
  </si>
  <si>
    <t>CIC_China_2021_07_13_a</t>
  </si>
  <si>
    <t>10104576
10104863
10104865
10104866
10104867
10103631</t>
    <phoneticPr fontId="10"/>
  </si>
  <si>
    <t>CIC_China_2021_12_07_a</t>
  </si>
  <si>
    <t>10236161
10236163
10238537
10236169
10236168
10236297</t>
  </si>
  <si>
    <t>CIC_China_2022_03_01_a</t>
  </si>
  <si>
    <t>10255608
10255615
10255616
10255618
10255613
10255614</t>
  </si>
  <si>
    <t>CIC_China_2022_05_10_a</t>
  </si>
  <si>
    <t>10266560
10266615
10266616
10266561
10266611
10266617
10271321(Survey)</t>
  </si>
  <si>
    <t>CIC_China_2022_05_17_a</t>
    <phoneticPr fontId="10"/>
  </si>
  <si>
    <t>10271601
10271609
10271616
10271721
10271715
10271718
10271321(survey)</t>
  </si>
  <si>
    <t>16 May, 2022</t>
    <phoneticPr fontId="10"/>
  </si>
  <si>
    <t>CIC_China_2022_07_12_a</t>
  </si>
  <si>
    <t>10280651
10280652
10280653
10280654
10280655
10280657
10284976(survey)</t>
    <phoneticPr fontId="10"/>
  </si>
  <si>
    <t>CIC_China_2022_08_09_a</t>
  </si>
  <si>
    <t>10284981
10285010
10285011
10285012
10285014
10285015
10284978(survey)</t>
    <phoneticPr fontId="10"/>
  </si>
  <si>
    <t>CIC_China_2022_11_29_a</t>
  </si>
  <si>
    <t>10315289
10315398
10315401
10315403
10315406
10315408
10323785(survey)</t>
    <phoneticPr fontId="10"/>
  </si>
  <si>
    <t>Dalian/Shanghai/Chengdu/Beijing, 31 Associates</t>
    <phoneticPr fontId="10"/>
  </si>
  <si>
    <t>Hybrid</t>
  </si>
  <si>
    <t>GEO_China_27_May_2020_1</t>
  </si>
  <si>
    <t>GEO_China_2020_05_27_a</t>
  </si>
  <si>
    <t>GCG_ML_June</t>
  </si>
  <si>
    <t>10083375
10083377
10083379
10083381
10086647
10086649</t>
    <phoneticPr fontId="10"/>
  </si>
  <si>
    <t>Geo China</t>
    <phoneticPr fontId="10"/>
  </si>
  <si>
    <t>Jan-15,Feb-1,Mar-2，Apr-4 Geo number19=12+1+2+4</t>
    <phoneticPr fontId="10"/>
  </si>
  <si>
    <t>China，BJ…7locs</t>
    <phoneticPr fontId="10"/>
  </si>
  <si>
    <t xml:space="preserve">1. Induction spread across 2 or more segments
2. Shorter Induction duration
3. Technical education not consecutively following induction
</t>
  </si>
  <si>
    <t xml:space="preserve">1. For 1H Associates, 3 days of virtual  training have delivered in May and 5 days second stage virtual sessions in 3Q.
2. The content of the 8 day is based on global content and de-duplicate the content of 1-day pre-onboarding class, which we ran for the Associates impacted by COVID-19 and can't attend Induction training in Q1. The adjustment we did is de-duplication, not de-selection from global content. 
3. Though the total training day is 8 day, the actual learning hours (including self-paced e-learning + Instructor-led virtual class) are more than 80 hours. In global- designed agenda, almost 1.5hr of  self-paced e-learning from 11:00 - 12:30 in every day. We expect Associates to interact with instructors in class. Therefore we move the 1.5 hour self-paced e-learning off-line and ask the Associates to complete and get badge prior to the virtual class.
4. All the adjustment was made in Apr. in response to COVID-19 outbreak, and they were reviewed with GCG Associates Steering Committee. From Q3, the Induction training will get to global model. 10 consecutive days of virtual class of Induction training is planed and will be conducted. The tech training will be followed immediately after Induction training. </t>
    <phoneticPr fontId="10"/>
  </si>
  <si>
    <t>GEO_China_12_Aug_2020_1</t>
  </si>
  <si>
    <t>GEO_China_2020_08_12_a</t>
  </si>
  <si>
    <t>10086345
10086347
10086349
10086351
10086356
10086358
10086365(survey)</t>
  </si>
  <si>
    <t>Jun-6,May-18，Jun-29,Jul-2,Jul-9,Jul-16,Jul-20,Aug-3,Geo Number55=1+1+12+31+10</t>
    <phoneticPr fontId="10"/>
  </si>
  <si>
    <t>Sep. 2020</t>
    <phoneticPr fontId="10"/>
  </si>
  <si>
    <t>China，BJ...8Locs</t>
    <phoneticPr fontId="10"/>
  </si>
  <si>
    <t>Projects require resource
Associates will be attending weekend training</t>
    <phoneticPr fontId="10"/>
  </si>
  <si>
    <t>GEO_China_07_Jul_2020_1</t>
  </si>
  <si>
    <t>GEO_China_2020_07_07_a</t>
  </si>
  <si>
    <t>10086345
10086347
10086349
10086351
10086356
10086358</t>
    <phoneticPr fontId="10"/>
  </si>
  <si>
    <t>Aug. 1 (estimated), need further check with HK WFM</t>
    <phoneticPr fontId="10"/>
  </si>
  <si>
    <t>Q3</t>
    <phoneticPr fontId="10"/>
  </si>
  <si>
    <t>China,HK</t>
    <phoneticPr fontId="10"/>
  </si>
  <si>
    <t xml:space="preserve">2 HK English-speaking Associates joined AP Induction training as GCG is running Chinese training.
2 Associates joined Melbourne cohort during the first day. Charles will continue induction as Melbourne conducted startwise
Will send IBM Fundamental Portal to the two HK Associates,and request them to complete the elearning
</t>
    <phoneticPr fontId="10"/>
  </si>
  <si>
    <t>GEO_China_2020_10_21_a</t>
  </si>
  <si>
    <t>10091121
10091122
10091123
10091124
10091125
10091126
 10091127(survey)</t>
  </si>
  <si>
    <t>Jan-1,Jun-2,Jul-6,Aug-5, Sep-13, Oct-41</t>
    <phoneticPr fontId="10"/>
  </si>
  <si>
    <t>Q4</t>
    <phoneticPr fontId="10"/>
  </si>
  <si>
    <t>China，DL..8Locs</t>
    <phoneticPr fontId="10"/>
  </si>
  <si>
    <t>GEO_China_2021_03_10_a</t>
  </si>
  <si>
    <t>10097301
10097303
10097305
10097307
10097311
10097309
10097300 (survey)</t>
  </si>
  <si>
    <t>HK</t>
    <phoneticPr fontId="10"/>
  </si>
  <si>
    <t>GEO_China_2021_04_13_a</t>
  </si>
  <si>
    <t>10099721
10099722
10099723
10099724
10099725
10099726
10100020 (survey)</t>
  </si>
  <si>
    <t>GEO_China_2021_04_19_a</t>
  </si>
  <si>
    <t>10100000
10100001
10100002
10100003
10100004
10100005
10100967(survey)</t>
  </si>
  <si>
    <t>GEO_China_2021_07_15_a</t>
  </si>
  <si>
    <t>10104908
10104911
10104912
10104914
10104915
10103632</t>
    <phoneticPr fontId="10"/>
  </si>
  <si>
    <t>GEO_China_2021_10_12_a</t>
  </si>
  <si>
    <t>10225590
10223696
10223705
10223706
10225587
10225589</t>
    <phoneticPr fontId="10"/>
  </si>
  <si>
    <t>GEO_China_2021_11_09_a</t>
  </si>
  <si>
    <t>10229181
10229183
10229184
10235030
10229186
10229187</t>
    <phoneticPr fontId="10"/>
  </si>
  <si>
    <t>GEO_China_2021_11_15_a</t>
  </si>
  <si>
    <t>10242933
10242935
10242937
10242943
10242947
10242951</t>
  </si>
  <si>
    <t>Geo China</t>
  </si>
  <si>
    <t>Sep.6,2021</t>
  </si>
  <si>
    <t>HK Associates attended India Cohort</t>
  </si>
  <si>
    <t>GEO_China_2022_03_08_a</t>
  </si>
  <si>
    <t>10258312
10258314
10258334
10258347
10258342
10258336</t>
  </si>
  <si>
    <t>GEO_China_2022_03_30_a</t>
  </si>
  <si>
    <t>10265759
10265767
10265769
10265865
10265844
10265846</t>
  </si>
  <si>
    <t>GEO_China_2022_04_27_a</t>
  </si>
  <si>
    <t>10269808
10269802
10269803
10269804
10269807
10269811</t>
  </si>
  <si>
    <t>04 April, 2022</t>
  </si>
  <si>
    <t>GEO_China_2022_05_17_a</t>
  </si>
  <si>
    <t>10271601
10271609
10271616
10271721
10271715
10271718
10271740(survey)</t>
  </si>
  <si>
    <t>GEO_China_2022_07_19_a</t>
  </si>
  <si>
    <t>10280982
10281001
10281003
10281004
10281005
10281006
10281009(Survey)</t>
  </si>
  <si>
    <t>7/13/2022, 7/18/2022</t>
  </si>
  <si>
    <t>GEO_China_2022_08_18_a</t>
  </si>
  <si>
    <t xml:space="preserve">10282049
10282050
10282051
10282053
10282056
10282057
10282063
</t>
  </si>
  <si>
    <t>GEO_China_2022_10_04_a</t>
  </si>
  <si>
    <t>10308589
10308601        10308593       10308609       10308611
10308613</t>
  </si>
  <si>
    <t>Hongkong, 5 Associates</t>
  </si>
  <si>
    <t>HK Associates attend ASEAN Cohort</t>
  </si>
  <si>
    <t>GEO_China_2022_11_01_a</t>
  </si>
  <si>
    <t xml:space="preserve"> 10305881	 10305883
10305884
10305886
10305888
10305891
10305893</t>
  </si>
  <si>
    <t>Beijing/Shanghai/Hongkong/Taiwan/Shenzhen/Guangzhou/Dalian/Chengdu, 53 Associates</t>
  </si>
  <si>
    <t>GEO_China_2022_11_29_a</t>
  </si>
  <si>
    <t>Taiwan, 6 Associates</t>
  </si>
  <si>
    <t>Taiwan Associate attend Export （CIC-China) Cohort</t>
  </si>
  <si>
    <t>GEO_China_2023_02_06_a</t>
  </si>
  <si>
    <t>10334225
10334226
10334227
10334228
10334229
10334230</t>
  </si>
  <si>
    <t>HK, 1 Associate</t>
  </si>
  <si>
    <t>HK Associate attend AESAN cohort</t>
  </si>
  <si>
    <t>GEO_China_2023_03_01_a</t>
  </si>
  <si>
    <t>GEO_China_2023_05_09_a</t>
  </si>
  <si>
    <t>GEO_China_2023_07_25_a</t>
  </si>
  <si>
    <t>GEO_China_2023_10_17_a</t>
  </si>
  <si>
    <t>Total Completed</t>
  </si>
  <si>
    <t>Total In Progress</t>
  </si>
  <si>
    <t>CIC_CEE_11_May_2020_1</t>
  </si>
  <si>
    <t>CIC_CEE_2020_05_11_a</t>
  </si>
  <si>
    <t>CIC CEE</t>
  </si>
  <si>
    <t>Jan / Feb / Mar 2020</t>
  </si>
  <si>
    <t>01 July, 01 Aug, 01 Sep, 01 Oct 2020</t>
  </si>
  <si>
    <t>Bucharest, Romania</t>
  </si>
  <si>
    <t>Mix of all 5</t>
  </si>
  <si>
    <t>complete</t>
  </si>
  <si>
    <t>No deviation</t>
  </si>
  <si>
    <t>The Pilot session had 20 participants but 4 of them left IBM</t>
  </si>
  <si>
    <t>CIC_CEE_31_Aug_2020_1</t>
  </si>
  <si>
    <t>CIC_CEE_2020_09_28_a</t>
  </si>
  <si>
    <t>Induction</t>
  </si>
  <si>
    <t>Aug / Sep 2020</t>
  </si>
  <si>
    <t>2 October, 2020</t>
  </si>
  <si>
    <t>Oct/ Nov 2022</t>
  </si>
  <si>
    <t>01 Nov / 01 Dec 
01 Jan 2021</t>
  </si>
  <si>
    <t>19 October, 2020</t>
  </si>
  <si>
    <t>23 October, 2020</t>
  </si>
  <si>
    <t>N/A</t>
  </si>
  <si>
    <t>The cohort size was of 23 but 2 left ibm; the number of active GBS Associates inducted in this session is of 21 (visible in the deployment tracker)</t>
  </si>
  <si>
    <t>CIC_CEE_02_Nov_2020_1</t>
  </si>
  <si>
    <t>CIC_CEE_2020_12_07_a</t>
  </si>
  <si>
    <t>Jan/ Feb/ Mar/ Apr/ May/ Jun/ Jul 2020</t>
  </si>
  <si>
    <t xml:space="preserve">Jan/ Feb/ Mar/ Apr/ May/ Jun/ Jul </t>
  </si>
  <si>
    <t>18 December, 2020</t>
  </si>
  <si>
    <t>CEE</t>
  </si>
  <si>
    <t>There have been 42 GBS Associates invited to this session: 3 left IBM, 1 gave up 1 day before the Indution, 2 gave up durring the Induction due to workload on the project</t>
  </si>
  <si>
    <t>CIC_CEE_2021_02_01_a</t>
  </si>
  <si>
    <t>Jul/ Aug/ Sep/ Oct/ Nov 2020</t>
  </si>
  <si>
    <t>5 February, 2021</t>
  </si>
  <si>
    <t>Jul/ Aug/ Sep/ Oct/ Nov 2021</t>
  </si>
  <si>
    <t>8 February, 2021</t>
  </si>
  <si>
    <t>12 February, 2021</t>
  </si>
  <si>
    <t>legacy cohort</t>
  </si>
  <si>
    <t>CIC_CEE_2021_03_08_a</t>
  </si>
  <si>
    <t>Dec 2020 / Jan/Feb 2021</t>
  </si>
  <si>
    <t>12 March, 2021</t>
  </si>
  <si>
    <t>15 March, 2021</t>
  </si>
  <si>
    <t>19 March, 2021</t>
  </si>
  <si>
    <t>combined cohort: legacy + new joiners</t>
  </si>
  <si>
    <t>CIC_CEE_2021_08_02_a</t>
  </si>
  <si>
    <t>Aug 2020/ Jan/Feb/Mar 2021</t>
  </si>
  <si>
    <t>6 August, 2021</t>
  </si>
  <si>
    <t>20 September, 2021</t>
  </si>
  <si>
    <t>24 September, 2021</t>
  </si>
  <si>
    <t>CIC_CEE_2021_10_11_a</t>
  </si>
  <si>
    <t>Nov/Dec 2020/ Jan/Feb/Mar/ Apr/May/Jun 2021</t>
  </si>
  <si>
    <t>15 October, 2021</t>
  </si>
  <si>
    <t>18 October, 2021</t>
  </si>
  <si>
    <t>22 October, 2021</t>
  </si>
  <si>
    <t>CIC_CEE_2021_11_08_a</t>
  </si>
  <si>
    <t>Feb/Mar/Apr/May/Jun/Jul/Aug 2021</t>
  </si>
  <si>
    <t>CIC_CEE_2021_12_06_a</t>
  </si>
  <si>
    <t>10234602 and  10235994</t>
  </si>
  <si>
    <t>Mar/ May/Jun/ Jul/ Aug/ Sep 2021</t>
  </si>
  <si>
    <t>13 December, 2021</t>
  </si>
  <si>
    <t>17 December, 2021</t>
  </si>
  <si>
    <t>CIC_CEE_2022_01_31_a</t>
  </si>
  <si>
    <t>Aug/Sep/Oct/Nov 2021
Jan 2022</t>
  </si>
  <si>
    <t>11 February, 2022</t>
  </si>
  <si>
    <t>CIC_CEE_2022_03_07_a</t>
  </si>
  <si>
    <t>Sep/Oct/Nov/Dec 2021</t>
  </si>
  <si>
    <t>11 March, 2022</t>
  </si>
  <si>
    <t>18 March, 2022</t>
  </si>
  <si>
    <t>CIC_CEE_2022_04_04_a</t>
  </si>
  <si>
    <t>Jan/Mar/Jun/Aug/Sep/Oct/Nov/Dec 
Jan/ Feb/March 2022</t>
  </si>
  <si>
    <t>8 April, 2022</t>
  </si>
  <si>
    <t>11 April, 2022</t>
  </si>
  <si>
    <t>15 April, 2022</t>
  </si>
  <si>
    <t>CIC_CEE_2022_04_26_a</t>
  </si>
  <si>
    <t>2 May,2022</t>
  </si>
  <si>
    <t>3 May, 2022</t>
  </si>
  <si>
    <t>6-May, 2022</t>
  </si>
  <si>
    <t>New GBS Interns &amp; Associates Induction</t>
  </si>
  <si>
    <t>CIC_CEE_2022_05_03_a</t>
  </si>
  <si>
    <t>CIC_CEE_2022_05_16_a</t>
  </si>
  <si>
    <t>Feb/Apr/March/May 2022</t>
  </si>
  <si>
    <t>CIC_CEE_2022_06_14_a</t>
  </si>
  <si>
    <t>Jun/ Aug 2021 Feb/March/April/June 2022</t>
  </si>
  <si>
    <t>CIC_CEE_2022_07_18_a</t>
  </si>
  <si>
    <t>Jan/Feb/March/ May/June/July 2022</t>
  </si>
  <si>
    <t>CIC_CEE_2022_08_16_a</t>
  </si>
  <si>
    <t>Jan/Feb/March/ May/June/July/ Aug  2022</t>
  </si>
  <si>
    <t>26 Aug, 2022</t>
  </si>
  <si>
    <t>22-Aug-202</t>
  </si>
  <si>
    <t>CIC_CEE_2022_09_19_a</t>
  </si>
  <si>
    <t>Oct 2021; Jan/Feb//July/ Aug/ Sep  2022</t>
  </si>
  <si>
    <t>30 Sep, 2022</t>
  </si>
  <si>
    <t>26-sep-202</t>
  </si>
  <si>
    <t>CEE (SK - 8; LT - 10; RO: 61; HR -2; CZ - 2)</t>
  </si>
  <si>
    <t>CIC_CEE_2022_10_10_a</t>
  </si>
  <si>
    <t>Sep/Oct 2022</t>
  </si>
  <si>
    <t>CEE (SK - 6; LT - 8; RO: 10; CZ - 3)</t>
  </si>
  <si>
    <t>CIC_CEE_2022_12_05_a</t>
  </si>
  <si>
    <t>Sep-Dec 2022</t>
  </si>
  <si>
    <t>Sep-Dec-2022</t>
  </si>
  <si>
    <t>CEE (SK - 10; LT - 1; RO: 28; CZ - 2)</t>
  </si>
  <si>
    <t>CIC_CEE_2023_02_13_a</t>
  </si>
  <si>
    <t>Various</t>
  </si>
  <si>
    <t xml:space="preserve">Various </t>
  </si>
  <si>
    <t xml:space="preserve">CEE </t>
  </si>
  <si>
    <t>in progress</t>
  </si>
  <si>
    <t>CIC_WE_07_Sep_2020_1</t>
  </si>
  <si>
    <t>CIC_EU_2020_09_07_a</t>
  </si>
  <si>
    <t>CIC Western Europe</t>
  </si>
  <si>
    <t>2 Sept 14 UK, 1 AT 1 May, 3 IT 15 Apr, 1 IT 16 June</t>
  </si>
  <si>
    <t>UK, Italy, Austria</t>
  </si>
  <si>
    <t>20 to 24</t>
  </si>
  <si>
    <t>Developers&amp;Data Scientist&amp;Technical Specialist</t>
  </si>
  <si>
    <t>Cris Brawn+other tutors</t>
  </si>
  <si>
    <t>virtual+elearning</t>
  </si>
  <si>
    <t>yes</t>
  </si>
  <si>
    <t>15 UK will follow virtual technical edu, 1 IT attendee completed tech edu before joining IBM - approved by Kathy Macesich</t>
  </si>
  <si>
    <t>CIC_WE_17_Feb_2020_1</t>
  </si>
  <si>
    <t>CIC_EU_2020_02_17_a</t>
  </si>
  <si>
    <t>Feb 17 - 26</t>
  </si>
  <si>
    <t>27 February (13 in Italy), 16 March (1 in Austria)</t>
  </si>
  <si>
    <t>Bari, Italy</t>
  </si>
  <si>
    <t>Developers &amp; Technical Consultants</t>
  </si>
  <si>
    <t>TBD</t>
  </si>
  <si>
    <t>all Associates went thgouh SAP edu prior joining (all intern conversions) - no need for tech trainign - approved by Kathy Macesich</t>
  </si>
  <si>
    <t>CIC_EU_2020_02_17_b</t>
  </si>
  <si>
    <t>WE_CIC_March16</t>
  </si>
  <si>
    <t>no single code</t>
  </si>
  <si>
    <t>Switzerland</t>
  </si>
  <si>
    <t>2 Swiss Associates completed above average edu before Smarter path was assigned - to be marked completed- approved by Kathy Macesich</t>
  </si>
  <si>
    <t>CIC_WE_04_Jun_2020_1</t>
  </si>
  <si>
    <t>CIC_EU_2020_06_04_a</t>
  </si>
  <si>
    <t>EU-CIC-NL-June1</t>
  </si>
  <si>
    <t>1 March 1AT, 9 March 2UK, 1 April 1AT , 6 April 2UK, 1 June 16NL</t>
  </si>
  <si>
    <t>7 August (NL)</t>
  </si>
  <si>
    <t>8 August (NL)</t>
  </si>
  <si>
    <t>Austria, UK, Netherlands</t>
  </si>
  <si>
    <t>New global content</t>
  </si>
  <si>
    <t>16 NL following virtual tech training provided by CIC NL - approved by Kathy Macesich</t>
  </si>
  <si>
    <t>No, it would be on  18th June, Need to determine leveraging Smarter Roadmaps vs legacy BB curriculum, For netherland-CIC..yes..Live Virtual sessions until 18th June-7th Aug..for those who did virtual sessions they are going back to projects-We will check again with Blanka/TerriAnne on the plan for tech training?
Currently they are not using Smarter Roadmap and will need to work towards that as each CIC has their own approach to technical training
Issues captured need to be updated in the tracker..CIC Vienna, UK..they joined earlier on projects or on bench and they have completed GBS onboarding now..plan for technical training..Austrian..all 3 interns converted to 6G..gone thru needed education..not required by their CIC as they are on projects...for UK CIC-one person has been working on badges but not a formal technical training based on JR/S...Netherland..extensive technical education in classroom if possible</t>
  </si>
  <si>
    <t>CIC_WE_26_Oct_2020_1</t>
  </si>
  <si>
    <t>CIC_EU_2020_10_26_a</t>
  </si>
  <si>
    <t>22 Oct 9UK, 16 Jun 1 IT, 1 May 1 Denmark, 3 Aug 4 Denmark, 28 Sep 6 Sweden, 1 Oct 1 Switzerland, 20 Jul 1 France, 1 Aug 2 France, 19 Oct 1 France</t>
  </si>
  <si>
    <t>UK, DK, IT, Sweden, Switzerland,France</t>
  </si>
  <si>
    <t>Developers&amp;Technical Specialists</t>
  </si>
  <si>
    <t>1 IT attendee completed tech edu before start-approval from Kathy Macesich</t>
  </si>
  <si>
    <t>CIC_EU_2021_02_22_a</t>
  </si>
  <si>
    <t>5 March, 2021</t>
  </si>
  <si>
    <t>Developers</t>
  </si>
  <si>
    <t>Crist Brawn + other tutors</t>
  </si>
  <si>
    <t>not Applicable</t>
  </si>
  <si>
    <t>planned</t>
  </si>
  <si>
    <t>no Deviation</t>
  </si>
  <si>
    <t>CIC_EU_2021_06_07_a</t>
  </si>
  <si>
    <t>10102803
10102486</t>
  </si>
  <si>
    <t>France</t>
  </si>
  <si>
    <t>Developers/Data Scientists</t>
  </si>
  <si>
    <t>French tutors with Sarah Procter and Marek Novotny</t>
  </si>
  <si>
    <t>CIC_EU_2021_03_17_a</t>
  </si>
  <si>
    <t>30 March, 2021</t>
  </si>
  <si>
    <t>Developers, Data Scientists</t>
  </si>
  <si>
    <t>Cris Brawn + other tutors</t>
  </si>
  <si>
    <t>CIC_EU_2021_06_21_a</t>
  </si>
  <si>
    <t>UKI, NL, Austria</t>
  </si>
  <si>
    <t>cris Brawn + other tutors</t>
  </si>
  <si>
    <t>CIC_EU_2021_08_05_a</t>
  </si>
  <si>
    <t>Developer</t>
  </si>
  <si>
    <t>CIC_EU_2021_09_20_a</t>
  </si>
  <si>
    <t>virtual</t>
  </si>
  <si>
    <t>CIC_EU_2021_10_04_a</t>
  </si>
  <si>
    <t>Marek Novotny &amp; other French speaking tutors</t>
  </si>
  <si>
    <t>elearning</t>
  </si>
  <si>
    <t>CIC_EU_2021_10_25_a</t>
  </si>
  <si>
    <t>CIC_EU_2022_02_07_a</t>
  </si>
  <si>
    <t>CIC_EU_2022_02_28_a</t>
  </si>
  <si>
    <t>French speaking tutors</t>
  </si>
  <si>
    <t>CIC_EU_2022_03_07_a</t>
  </si>
  <si>
    <t>UKI &amp; Germany</t>
  </si>
  <si>
    <t>CIC_EU_2022_03_21_a</t>
  </si>
  <si>
    <t>CIC_EU_2022_05_03_a</t>
  </si>
  <si>
    <t>CIC_EU_2022_08_08_a</t>
  </si>
  <si>
    <t>CIC_EU_2022_09_19_a</t>
  </si>
  <si>
    <t xml:space="preserve">Hybrid </t>
  </si>
  <si>
    <t>week 1 F2F, week 2 virtual</t>
  </si>
  <si>
    <t>CIC_EU_2022_10_03_a</t>
  </si>
  <si>
    <t>CIC_EU_2022_11_21_a</t>
  </si>
  <si>
    <t>CIC_EU_2023_03_06_a</t>
  </si>
  <si>
    <t>Germany</t>
  </si>
  <si>
    <t>CIC_EU_2023_03_20_a</t>
  </si>
  <si>
    <t>Belgium, UK, Italy</t>
  </si>
  <si>
    <t>CIC_EU_2023_05_08_a</t>
  </si>
  <si>
    <t>UK, Denmark</t>
  </si>
  <si>
    <t>GEO_WE_09_Nov_2020_1</t>
  </si>
  <si>
    <t>GEO_EU_2020_11_09_a</t>
  </si>
  <si>
    <t>Geo Western Europe</t>
  </si>
  <si>
    <t>Various Nov and earlier</t>
  </si>
  <si>
    <t>7 December, 2020</t>
  </si>
  <si>
    <t>UK, Italy. Belgium, Finland, Germany, Netherlands, Ireland</t>
  </si>
  <si>
    <t>Consultant (most class, but TBD)</t>
  </si>
  <si>
    <t>Cris Brawn, TerriAnne Novak, Henry Donald and others</t>
  </si>
  <si>
    <t>GEO_WE_10_Feb_2020_1</t>
  </si>
  <si>
    <t>GEO_EU_2020_02_10_a</t>
  </si>
  <si>
    <t>Various 2019 or intern conversions in Feb 2020, Jan 2020</t>
  </si>
  <si>
    <t>Legacy Geo Europe</t>
  </si>
  <si>
    <t>1. Dates TBD</t>
  </si>
  <si>
    <t>Approx 16 in cohort but only 6 of those were 2020 hires.</t>
  </si>
  <si>
    <t>GEO_WE_10_Aug_2020_1</t>
  </si>
  <si>
    <t>GEO_EU_2020_08_10_a</t>
  </si>
  <si>
    <t>5 August 2020 20UK, 3 August 2020 1 Germany, April 1 NL, April 1 Russia, unknown date 2 Germany</t>
  </si>
  <si>
    <t>7 September, 2020</t>
  </si>
  <si>
    <t>UK, Germany. Netherlands, Russia</t>
  </si>
  <si>
    <t>Cris Brawn, Guy Stephens, TerriAnne Novak and others</t>
  </si>
  <si>
    <t>Pilot for Mainline</t>
  </si>
  <si>
    <t>GEO_WE_07_Sep_2020_1</t>
  </si>
  <si>
    <t>GEO_EU_2020_09_07_a</t>
  </si>
  <si>
    <t>30 UK starters on 02 September, 17 Spain starters on 1 Sept, others miscellaneous</t>
  </si>
  <si>
    <t>5 October, 2020</t>
  </si>
  <si>
    <t>UK, Germany, Greece, Cyprus</t>
  </si>
  <si>
    <t>TerriAnne Novak, Anouk van Batenburg and others</t>
  </si>
  <si>
    <t>Includes cancelled UK cohort plus any other hires in EU</t>
  </si>
  <si>
    <t>GEO_WE_21_Sep_2020_1</t>
  </si>
  <si>
    <t>GEO_EU_2020_09_21_a</t>
  </si>
  <si>
    <t>UK starters on 16 September, 2020, 3 BeNeLux starters from April, some Benelux starters from September, other miscellanesous</t>
  </si>
  <si>
    <t>UK, Netherlands, Belgium, Germany, Italy, Russia, Misc</t>
  </si>
  <si>
    <t>This class must run as it contains the deferred July joiners.  If necessary it will move to Virtual.</t>
  </si>
  <si>
    <t>GEO_WE_12_Oct_2020_1</t>
  </si>
  <si>
    <t>GEO_EU_2020_10_12_a</t>
  </si>
  <si>
    <t>UK = 07 October, 2020.  Benelux = 01 Oct 2020.  Others various.</t>
  </si>
  <si>
    <t>09 October, 2020</t>
  </si>
  <si>
    <t>UK, Netherlands, Belgium, Germany, Italy, Russia, Spain, Portual</t>
  </si>
  <si>
    <t>Cris Brawn</t>
  </si>
  <si>
    <t>GEO_EU_2021_03_08_a</t>
  </si>
  <si>
    <t>GEO_EU_2021_02_08_a</t>
  </si>
  <si>
    <t>GEO_EU_2021_04_12_a</t>
  </si>
  <si>
    <t>GEO_EU_2021_06_07_a</t>
  </si>
  <si>
    <t>GEO_EU_2021_07_05_a</t>
  </si>
  <si>
    <t>GEO_EU_2021_07_26_a</t>
  </si>
  <si>
    <t>various</t>
  </si>
  <si>
    <t>consultant (most class, but TBD)</t>
  </si>
  <si>
    <t>GEO_EU_2021_08_09_a</t>
  </si>
  <si>
    <t>GEO_EU_2021_09_06_a</t>
  </si>
  <si>
    <t>GEO_EU_2021_09_06_b</t>
  </si>
  <si>
    <t>UK</t>
  </si>
  <si>
    <t>GEO_EU_2021_09_20_a</t>
  </si>
  <si>
    <t>GEO_EU_2021_10_11_a</t>
  </si>
  <si>
    <t>GEO_EU_2021_10_11_b</t>
  </si>
  <si>
    <t>GEO_EU_2021_11_08_a</t>
  </si>
  <si>
    <t>10228487
10229509</t>
  </si>
  <si>
    <t>GEO_EU_2021_11_08_b</t>
  </si>
  <si>
    <t>GEO_EU_2022_02_07_a</t>
  </si>
  <si>
    <t>10250003
10243911</t>
  </si>
  <si>
    <t>GEO_EU_2022_02_21_a</t>
  </si>
  <si>
    <t>GEO_EU_2022_03_07_a</t>
  </si>
  <si>
    <t>new GBS Associates Induction</t>
  </si>
  <si>
    <t>GEO_EU_2022_04_06_a</t>
  </si>
  <si>
    <t>GEO_EU_2022_04_06_b</t>
  </si>
  <si>
    <t>GEO_EU_2022_05_09_a</t>
  </si>
  <si>
    <t>10274979
10273357</t>
  </si>
  <si>
    <t>GEO_EU_2022_06_03_a</t>
  </si>
  <si>
    <t>10281404
10280714
10280691
10281384</t>
  </si>
  <si>
    <t>DACH (8), SPGI (22)</t>
  </si>
  <si>
    <t>GEO_EU_2022_06_13_a</t>
  </si>
  <si>
    <t>UKI</t>
  </si>
  <si>
    <t>GEO_EU_2022_07_11_a</t>
  </si>
  <si>
    <t>GEO_EU_2022_07_11_b</t>
  </si>
  <si>
    <t>DACH (9), CEE (3), Italy (4), SPGI (3), Nordics (1)</t>
  </si>
  <si>
    <t xml:space="preserve"> -
week 1 F2F, week 2 virtual</t>
  </si>
  <si>
    <t>GEO_EU_2022_08_08_a</t>
  </si>
  <si>
    <t>UKI (32), DACH (3)</t>
  </si>
  <si>
    <t>GEO_EU_2022_09_05_a</t>
  </si>
  <si>
    <t>UKI (29)</t>
  </si>
  <si>
    <t>GEO_EU_2022_09_05_b</t>
  </si>
  <si>
    <t>NorthernEurope (25)</t>
  </si>
  <si>
    <t>GEO_EU_2022_09_05_c</t>
  </si>
  <si>
    <t>DACH (12), SPGI (3)</t>
  </si>
  <si>
    <t>GEO_EU_2022_09_19_a</t>
  </si>
  <si>
    <t>SPGI (19), Italy (2)</t>
  </si>
  <si>
    <t>GEO_EU_2022_10_10_a</t>
  </si>
  <si>
    <t>UKI (26), Italy (2), CEE (2)</t>
  </si>
  <si>
    <t>GEO_EU_2022_10_10_b</t>
  </si>
  <si>
    <t>DACH (28)</t>
  </si>
  <si>
    <t>GEO_EU_2022_11_07_a</t>
  </si>
  <si>
    <t>UKI (27), Italy (3)</t>
  </si>
  <si>
    <t>GEO_EU_2022_11_07_b</t>
  </si>
  <si>
    <t>10317932
10318278</t>
  </si>
  <si>
    <t>DACH (16), SPGI (8), NCEE (2)</t>
  </si>
  <si>
    <t>GEO_EU_2023_02_06_a</t>
  </si>
  <si>
    <t>DACH (9), SPGI (2), France (2), Italy (2), NCEE (5)</t>
  </si>
  <si>
    <t>GEO_EU_2023_03_06_a</t>
  </si>
  <si>
    <t>DACH (5), SPGI (14), Italy (1)</t>
  </si>
  <si>
    <t>CIC_PH_03_Aug_2020_1</t>
  </si>
  <si>
    <t>CIC_PH_2020_09_07_a</t>
  </si>
  <si>
    <t>CIC Philippines</t>
  </si>
  <si>
    <t>Quezon City, Philippines</t>
  </si>
  <si>
    <t xml:space="preserve">1. Technical learning not consecutively following induction
</t>
  </si>
  <si>
    <t>Confirmed as of July 29 Meeting</t>
  </si>
  <si>
    <t>CIC_PH_2021_04_12_a</t>
  </si>
  <si>
    <t>10098477, 10098478,
10098481, 10098482,
10098484, 10098487,
10098488, 10098489,
10098490, 10098491</t>
  </si>
  <si>
    <t>25 January, 15 February  2021, April 12 2021 (Numbers: Jan OB 3 EPH, Feb OB 3 EPH, April OB 10 EPH)</t>
  </si>
  <si>
    <t>Onboarding on Jan 25, 2021 (3 EPHs) and Feb 15 (3 EPHs) and April 5 (10 EPH) however induction for the 6 Associates will be conducted in April 5.  After completion of the Induction they will join the client projects.</t>
  </si>
  <si>
    <t>CIC_PH_2021_04_26_a</t>
  </si>
  <si>
    <t>10275745, 10275746,
10275749, 10275752,
10275753, 10275754,
10275755, 10275757</t>
  </si>
  <si>
    <t>2 Associates will join India Cohort for the 2-weeks induction program</t>
  </si>
  <si>
    <t>CIC_PH_2021_05_03_a</t>
  </si>
  <si>
    <t>10275764, 10275769
10275766, 10275770,
10275771, 10275772,
10275773, 10275774</t>
  </si>
  <si>
    <t>10 Associates will join India Cohort for the 2-weeks induction program</t>
  </si>
  <si>
    <t>CIC_PH_2021_07_19_a</t>
  </si>
  <si>
    <t>10283128, 10283129
10283130, 10283131
10283133, 10283134
10283135, 10283136</t>
  </si>
  <si>
    <t>14 June, 2021</t>
  </si>
  <si>
    <t>30 July, 2021</t>
  </si>
  <si>
    <t>2 Aug, 2021</t>
  </si>
  <si>
    <t>Clubbing the Associates Induction Training on July 19 Cohort</t>
  </si>
  <si>
    <t>CIC_PH_2021_07_19_b</t>
  </si>
  <si>
    <t>21 June, 2021</t>
  </si>
  <si>
    <t>6 Aug, 2021</t>
  </si>
  <si>
    <t>9 Aug, 2021</t>
  </si>
  <si>
    <t>CIC_PH_2021_08_16_a</t>
  </si>
  <si>
    <t>10105377, 10105378,
10105379, 10105380,
10105381, 10105382
10105383</t>
  </si>
  <si>
    <t>July 19, 2021 (3), 
July 26, 2021 (2),
Aug 2, 2021 (7),
Aug 16, 2021 (10)</t>
  </si>
  <si>
    <t>Clubbing the Associates Induction Training on August 16 Cohort</t>
  </si>
  <si>
    <t>CIC_PH_2021_10_11_a</t>
  </si>
  <si>
    <t>10216448, 10216449,
10216451, 10216453,
10216457, 10216459,
10216462, 10216466</t>
  </si>
  <si>
    <t>Sept 6,
Sept 13,
Oct 4,
Oct 11, 2021</t>
  </si>
  <si>
    <t>Clubbing the Associates Induction Training on October 11 Cohort</t>
  </si>
  <si>
    <t>CIC_PH_2021_12_06_a</t>
  </si>
  <si>
    <t>10230958, 10230959,
10231040, 10231042,
10232635, 10232641,
10232648</t>
  </si>
  <si>
    <t xml:space="preserve">Nov 8,
Nov 15, 
Dec 1
</t>
  </si>
  <si>
    <t>Lani Pedro + Volunteer Facilitators</t>
  </si>
  <si>
    <t>Associate</t>
  </si>
  <si>
    <t>CIC_PH_2022_02_14_a</t>
  </si>
  <si>
    <t>10246238, 10246239,
10247065, 10247056,
10247060, 10247061,
10247062</t>
  </si>
  <si>
    <t>Jan 24, 2022
Feb 14, 2022</t>
  </si>
  <si>
    <t>CIC_PH_2022_03_21_a</t>
  </si>
  <si>
    <t>10254036, 10254037,
10254038, 10254039,
10254040, 10254337,
10254340</t>
  </si>
  <si>
    <t>Feb 28, 2022
Mar 11, 2022
Mar 18, 2022</t>
  </si>
  <si>
    <t>4/12022</t>
  </si>
  <si>
    <t>CIC_PH_2022_05_23_a</t>
  </si>
  <si>
    <t>10271297, 10271298,
10271299, 10272058,
10271794, 10272060,
10272086, 10272088</t>
  </si>
  <si>
    <t>April 18,2022
May 20, 2022</t>
  </si>
  <si>
    <t>Developer, Tech Specialists</t>
  </si>
  <si>
    <t>Francis Pacana + Volunteer Facilitators</t>
  </si>
  <si>
    <t>CIC_PH_2022_06_27_a</t>
  </si>
  <si>
    <t>10283353, 10283356,	
10283360, 10283363,
10283365, 10283366,
10283368</t>
  </si>
  <si>
    <t>June 6, 2022
June 13, 2022
June 24, 2022</t>
  </si>
  <si>
    <t>CIC_PH_2022_09_26_a</t>
  </si>
  <si>
    <t>10302781
10302782
10302784
10302785
10302786
10302787
10302789</t>
  </si>
  <si>
    <t>July 18, 2022
August 1, 2022
September 26, 2022</t>
  </si>
  <si>
    <t>CIC_PH_2023_02_27_a</t>
  </si>
  <si>
    <t>Intern</t>
  </si>
  <si>
    <t>CIC_LA_Brazil_14_May_2020_1</t>
  </si>
  <si>
    <t>CIC_LA_Brazil_2020_05_14_a</t>
  </si>
  <si>
    <t>LA_BRAZIL_May14</t>
  </si>
  <si>
    <t>CIC LA</t>
  </si>
  <si>
    <t>Feb 2020 - 7
Mar 2020 - 1
Apr 2020 - 24</t>
  </si>
  <si>
    <t>Feb 2020 / Apr 2020</t>
  </si>
  <si>
    <t>Brazil</t>
  </si>
  <si>
    <t>Mix of all 6</t>
  </si>
  <si>
    <t>1. Longer Induction duration
2. Project Prior to induction
3. Induction, Technical learning and Project running concurrently</t>
  </si>
  <si>
    <t>There is a challenge in number of faculty and LA needed to reduce impact to projects.
Email: As in LA the Associates are already allocated in the projects since the 1st day after their conversion from student, they will not be full-time attending to the technical training, ie, we are considering that they will have about 4h/week only to follow the technical training.
  I am reviewing the Tech Training spreadsheet which Miriam filled and there is a training path of 173h (Test Specialist-Automation). This will take much more than 2 months I expected.</t>
  </si>
  <si>
    <t>CIC_LA_Mexico_15_May_2020_1</t>
  </si>
  <si>
    <t>CIC_LA_Mexico_2020_05_15_a</t>
  </si>
  <si>
    <t>LA_MEXICO_May15</t>
  </si>
  <si>
    <t>Jan 2020 - 3
Feb 2020 - 6</t>
  </si>
  <si>
    <t>Jan 2020 / Feb 2020</t>
  </si>
  <si>
    <t>Mexico</t>
  </si>
  <si>
    <t>CIC_LA_SSA_26_May_2020_1</t>
  </si>
  <si>
    <t>CIC_LA_SSA_2020_05_26_a</t>
  </si>
  <si>
    <t>LA_CHILE_May 26</t>
  </si>
  <si>
    <t>Jan 2020 - 2
Mar 2020 - 10</t>
  </si>
  <si>
    <t>Jan 2020 / Mar 2020</t>
  </si>
  <si>
    <t>SSA</t>
  </si>
  <si>
    <t>CIC_LA_Brazil_09_Jun_2020_1</t>
  </si>
  <si>
    <t>CIC_LA_Brazil_2020_06_09_a</t>
  </si>
  <si>
    <t>LA_Brazil_June9</t>
  </si>
  <si>
    <t xml:space="preserve">Jan 2020 - 23
Mar 2020 - 8
May 2020 - 3
</t>
  </si>
  <si>
    <t>Jan/Mar/May 2020</t>
  </si>
  <si>
    <t>CIC_LA_Mexico_10_Jun_2020_1</t>
  </si>
  <si>
    <t>CIC_LA_Mexico_2020_06_10_a</t>
  </si>
  <si>
    <t>LA_Mexico_June10</t>
  </si>
  <si>
    <t>Jan 2020 - 1_x000D_
Feb 2020 - 1_x000D_
Mar 2020 - 9_x000D_
May 2020 - 2_x000D_
Jun 2020 - 4</t>
  </si>
  <si>
    <t>Jan/Feb/Mar/May/Jun 2020</t>
  </si>
  <si>
    <t>1. Longer Induction duration</t>
  </si>
  <si>
    <t>CIC_LA_Brazil_06_Jul_2020_1</t>
  </si>
  <si>
    <t>CIC_LA_Brazil_2020_07_06_a</t>
  </si>
  <si>
    <t>Jan 2020 - 19_x000D_
Mar 2020 - 3_x000D_
Jun 2020 - 19</t>
  </si>
  <si>
    <t>Jan/Mar/Jun 2020</t>
  </si>
  <si>
    <t>CIC_LA_Mexico_09_Jul_2020_1</t>
  </si>
  <si>
    <t>CIC_LA_Mexico_2020_07_09_a</t>
  </si>
  <si>
    <t>Jan 2020 - 2_x000D_
Feb 2020 - 14_x000D_
Jun 2020 - 8</t>
  </si>
  <si>
    <t>13 July, 2020</t>
  </si>
  <si>
    <t>CIC_LA_SSA_17_Jul_2020_1</t>
  </si>
  <si>
    <t>CIC_LA_SSA_2020_07_17_a</t>
  </si>
  <si>
    <t>Jan / Feb / Mar</t>
  </si>
  <si>
    <t>Jan/Feb/Mar</t>
  </si>
  <si>
    <t>CIC_LA_Mexico_04_Aug_2020_1</t>
  </si>
  <si>
    <t>CIC_LA_Mexico_2020_08_06_a</t>
  </si>
  <si>
    <t>Feb/Mar/Apr/May/Jul</t>
  </si>
  <si>
    <t>CIC_LA_Brazil_17_Aug_2020_1</t>
  </si>
  <si>
    <t>CIC_LA_Brazil_2020_08_17_a</t>
  </si>
  <si>
    <t>Jan/Mar/May
/Jun/Jul/Aug</t>
  </si>
  <si>
    <t>1. Project Prior to induction
2. Induction, Technical learning and Project running concurrently</t>
  </si>
  <si>
    <t>CIC_LA_Mexico_04_Sep_2020_1</t>
  </si>
  <si>
    <t>CIC_LA_Mexico_2020_09_03_a</t>
  </si>
  <si>
    <t>May/Jun/Jul/Aug/Sep</t>
  </si>
  <si>
    <t>14 September, 2020</t>
  </si>
  <si>
    <t>Tentative</t>
  </si>
  <si>
    <t>CIC_LA_Brazil_14_Sep_2020_1</t>
  </si>
  <si>
    <t>CIC_LA_Brazil_2020_09_15_a</t>
  </si>
  <si>
    <t>Jan/Mar/Jun
/Jul/Aug/Sep</t>
  </si>
  <si>
    <t>CIC_LA_SSA_14_Sep_2020_1</t>
  </si>
  <si>
    <t>CIC_LA_SSA_2020_09_10_a</t>
  </si>
  <si>
    <t>Jun 2020 / 14 September, 2020</t>
  </si>
  <si>
    <t>CIC_LA_Mexico_01_Oct_2020_1</t>
  </si>
  <si>
    <t>CIC_LA_Mexico_2020_10_01_a</t>
  </si>
  <si>
    <t>01 October, 2020</t>
  </si>
  <si>
    <t>12 October, 2020</t>
  </si>
  <si>
    <t>CIC_LA_Brazil_12_Oct_2020_1</t>
  </si>
  <si>
    <t>CIC_LA_Brazil_2020_10_20_a</t>
  </si>
  <si>
    <t>CIC_LA_SSA_12_Oct_2020_1</t>
  </si>
  <si>
    <t>CIC_LA_SSA_2020_10_19_a</t>
  </si>
  <si>
    <t>CIC_LA_Mexico_01_Nov_2020_1</t>
  </si>
  <si>
    <t>CIC_LA_Mexico_2020_10_30_a</t>
  </si>
  <si>
    <t>16 November, 2020</t>
  </si>
  <si>
    <t>CIC_LA_SSA_16_Nov_2020_1</t>
  </si>
  <si>
    <t>CIC_LA_SSA_2020_11_13_a</t>
  </si>
  <si>
    <t>There is a challenge in number of faculty and LA needed to reduce impact to projects.
Email: As in LA the Associates are already allocated in the projects since the 1st day after their conversion from student, they will not be full-time attending to the technical training, ie, we are considering that they will have about 4h/week only to follow the technical training.
  I am reviewing the Tech Training spreadsheet which Miriam filled and there is a training path of 173h (Test Specialist-Automation). This will take much more than 2 months I expected.</t>
  </si>
  <si>
    <t>CIC_LA_Brazil_16_Nov_2020_1</t>
  </si>
  <si>
    <t>CIC_LA_Brazil_2020_11_10_a</t>
  </si>
  <si>
    <t>CIC_LA_Brazil_11_Dec_2020_1</t>
  </si>
  <si>
    <t>CIC_LA_Brazil_2020_12_07_a</t>
  </si>
  <si>
    <t>14 December, 2020</t>
  </si>
  <si>
    <t>29 Associates + 209 Students</t>
  </si>
  <si>
    <t>CIC_LA_Mexico_2020_11_24_a</t>
  </si>
  <si>
    <t>CIC_LA_SSA_11_Dec_2020_1</t>
  </si>
  <si>
    <t>CIC_LA_SSA_2020_12_28_a</t>
  </si>
  <si>
    <t>December</t>
  </si>
  <si>
    <t>15 Associates + 24 Students</t>
  </si>
  <si>
    <t>CIC_LA_Mexico_2020_12_28_a</t>
  </si>
  <si>
    <t>12 Associates + 46 Students</t>
  </si>
  <si>
    <t>CIC_LA_Brazil_2021_01_18_a</t>
  </si>
  <si>
    <t>January</t>
  </si>
  <si>
    <t>CIC_LA_Brazil_2021_02_09_a</t>
  </si>
  <si>
    <t>February</t>
  </si>
  <si>
    <t>CIC_LA_SSA_2021_02_26_a</t>
  </si>
  <si>
    <t>CIC_LA_Mexico_2021_03_04_a</t>
  </si>
  <si>
    <t>March</t>
  </si>
  <si>
    <t>CIC_LA_Brazil_2021_03_16_a</t>
  </si>
  <si>
    <t>CIC_LA_Mexico_2021_04_13_a</t>
  </si>
  <si>
    <t>April</t>
  </si>
  <si>
    <t>CIC_LA_Brazil_2021_04_20_a</t>
  </si>
  <si>
    <t>CIC_LA_SSA_2021_04_12_a</t>
  </si>
  <si>
    <t>CIC_LA_Mexico_2021_05_10_a</t>
  </si>
  <si>
    <t>May</t>
  </si>
  <si>
    <t>CIC_LA_SSA_2021_05_19_a</t>
  </si>
  <si>
    <t>CIC_LA_Brazil_2021_05_18_a</t>
  </si>
  <si>
    <t>CIC_LA_Mexico_2021_06_03_a</t>
  </si>
  <si>
    <t>June</t>
  </si>
  <si>
    <t>CIC_LA_Brazil_2021_06_15_a</t>
  </si>
  <si>
    <t>CIC_LA_SSA_2021_06_29_a</t>
  </si>
  <si>
    <t>CIC_LA_Mexico_2021_06_30_a</t>
  </si>
  <si>
    <t>CIC_LA_Brazil_2021_07_20_a</t>
  </si>
  <si>
    <t>July</t>
  </si>
  <si>
    <t>CIC_LA_SSA_2021_08_09_a</t>
  </si>
  <si>
    <t>August</t>
  </si>
  <si>
    <t>CIC_LA_Mexico_2021_07_29_a</t>
  </si>
  <si>
    <t>CIC_LA_Brazil_2021_08_17_a</t>
  </si>
  <si>
    <t>CIC_LA_Mexico_2021_09_02_a</t>
  </si>
  <si>
    <t>10103796_10224712</t>
  </si>
  <si>
    <t>September</t>
  </si>
  <si>
    <t>CIC_LA_Brazil_2021_09_20_a</t>
  </si>
  <si>
    <t>CIC_LA_Brazil_2021_10_18_a</t>
  </si>
  <si>
    <t>October</t>
  </si>
  <si>
    <t>CIC_LA_Mexico_2021_11_03_a</t>
  </si>
  <si>
    <t>November</t>
  </si>
  <si>
    <t>CIC_LA_Mexico_2021_12_07_a</t>
  </si>
  <si>
    <t>CIC_LA_SSA_2021_11_22_a</t>
  </si>
  <si>
    <t>CIC_LA_Brazil_2021_11_22_a</t>
  </si>
  <si>
    <t>CIC_LA_Brazil_2021_12_14_a</t>
  </si>
  <si>
    <t>CIC_LA_Brazil_2022_01_18_a</t>
  </si>
  <si>
    <t>CIC_LA_Brazil_2022_02_15_a</t>
  </si>
  <si>
    <t>CIC_LA_Brazil_2022_03_15_a</t>
  </si>
  <si>
    <t>CIC_LA_Brazil_2022_04_12_a</t>
  </si>
  <si>
    <t>CIC_LA_Brazil_2022_05_17_a</t>
  </si>
  <si>
    <t>10258862_10280509</t>
  </si>
  <si>
    <t>CIC_LA_Brazil_2022_06_14_a</t>
  </si>
  <si>
    <t>CIC_LA_Brazil_2022_07_12_a</t>
  </si>
  <si>
    <t>CIC_LA_Brazil_2022_08_15_a</t>
  </si>
  <si>
    <t>CIC_LA_Brazil_2022_09_13_a</t>
  </si>
  <si>
    <t>CIC_LA_Brazil_2022_10_18_a</t>
  </si>
  <si>
    <t>CIC_LA_Brazil_2022_11_14_a</t>
  </si>
  <si>
    <t>CIC_LA_Brazil_2022_12_13_a</t>
  </si>
  <si>
    <t>CIC_LA_Mexico_2022_01_18_a</t>
  </si>
  <si>
    <t>CIC_LA_Mexico_2022_02_15_a</t>
  </si>
  <si>
    <t>CIC_LA_Mexico_2022_03_15_a</t>
  </si>
  <si>
    <t>CIC_LA_Mexico_2022_04_12_a</t>
  </si>
  <si>
    <t>10260684/10271151</t>
  </si>
  <si>
    <t>CIC_LA_Mexico_2022_05_17_a</t>
  </si>
  <si>
    <t>CIC_LA_Mexico_2022_06_14_a</t>
  </si>
  <si>
    <t>CIC_LA_Mexico_2022_07_12_a</t>
  </si>
  <si>
    <t>10292013/10292019</t>
  </si>
  <si>
    <t>CIC_LA_Mexico_2022_08_15_a</t>
  </si>
  <si>
    <t>CIC_LA_Mexico_2022_09_13_a</t>
  </si>
  <si>
    <t>CIC_LA_Mexico_2022_10_18_a</t>
  </si>
  <si>
    <t>CIC_LA_Mexico_2022_11_14_a</t>
  </si>
  <si>
    <t>CIC_LA_Mexico_2022_12_13_a</t>
  </si>
  <si>
    <t>CIC_LA_SSA_2022_01_18_a</t>
  </si>
  <si>
    <t>CIC_LA_SSA_2022_02_15_a</t>
  </si>
  <si>
    <t>CIC_LA_SSA_2022_03_15_a</t>
  </si>
  <si>
    <t>CIC_LA_SSA_2022_04_12_a</t>
  </si>
  <si>
    <t>CIC_LA_SSA_2022_05_17_a</t>
  </si>
  <si>
    <t>CIC_LA_SSA_2022_07_12_a</t>
  </si>
  <si>
    <t>CIC_LA_SSA_2022_08_15_a</t>
  </si>
  <si>
    <t>CIC_LA_SSA_2022_09_13_a</t>
  </si>
  <si>
    <t>CIC_LA_SSA_2022_10_18_a</t>
  </si>
  <si>
    <t>CIC_LA_SSA_2022_11_14_a</t>
  </si>
  <si>
    <t>CIC_LA_Brazil_2023_01_16_a</t>
  </si>
  <si>
    <t>São Paulo, Brazil, #of Associates (check)</t>
  </si>
  <si>
    <t>CIC_LA_Brazil_2023_02_20_a</t>
  </si>
  <si>
    <t>CIC_LA_Brazil_2023_03_20_a</t>
  </si>
  <si>
    <t>CIC_LA_Brazil_2023_04_17_a</t>
  </si>
  <si>
    <t>CIC_LA_Brazil_2023_05_15_a</t>
  </si>
  <si>
    <t>CIC_LA_Brazil_2023_06_19_a</t>
  </si>
  <si>
    <t>CIC_LA_Brazil_2023_07_17_a</t>
  </si>
  <si>
    <t>CIC_LA_Brazil_2023_08_21_a</t>
  </si>
  <si>
    <t>CIC_LA_Brazil_2023_09_18_a</t>
  </si>
  <si>
    <t>CIC_LA_Brazil_2023_10_16_a</t>
  </si>
  <si>
    <t>CIC_LA_Brazil_2023_11_20_a</t>
  </si>
  <si>
    <t>CIC_LA_Brazil_2023_12_18_a</t>
  </si>
  <si>
    <t>Mexico City, Mexico, # (check)</t>
  </si>
  <si>
    <t>CIC_LA_Mexico_2023_02_20_a</t>
  </si>
  <si>
    <t>CIC_LA_Mexico_2023_03_20_a</t>
  </si>
  <si>
    <t>CIC_LA_Mexico_2023_04_17_a</t>
  </si>
  <si>
    <t>CIC_LA_Mexico_2023_05_15_a</t>
  </si>
  <si>
    <t>CIC_LA_Mexico_2023_06_19_a</t>
  </si>
  <si>
    <t>CIC_LA_Mexico_2023_07_17_a</t>
  </si>
  <si>
    <t>CIC_LA_Mexico_2023_08_21_a</t>
  </si>
  <si>
    <t>CIC_LA_Mexico_2023_09_18_a</t>
  </si>
  <si>
    <t>CIC_LA_Mexico_2023_10_16_a</t>
  </si>
  <si>
    <t>CIC_LA_Mexico_2023_11_20_a</t>
  </si>
  <si>
    <t>CIC_LA_Mexico_2023_12_18_a</t>
  </si>
  <si>
    <t>CIC_LA_SSA_2023_01_16_a</t>
  </si>
  <si>
    <t>Buenos Aires, Argentina, # (check)</t>
  </si>
  <si>
    <t>CIC_LA_SSA_2023_02_20_a</t>
  </si>
  <si>
    <t>CIC_LA_SSA_2023_03_20_a</t>
  </si>
  <si>
    <t>CIC_LA_SSA_2023_04_17_a</t>
  </si>
  <si>
    <t>CIC_LA_SSA_2023_05_15_a</t>
  </si>
  <si>
    <t>CIC_LA_SSA_2023_06_19_a</t>
  </si>
  <si>
    <t>CIC_LA_SSA_2023_07_17_a</t>
  </si>
  <si>
    <t>CIC_LA_SSA_2023_08_21_a</t>
  </si>
  <si>
    <t>CIC_LA_SSA_2023_09_18_a</t>
  </si>
  <si>
    <t>CIC_LA_SSA_2023_10_16_a</t>
  </si>
  <si>
    <t>CIC_LA_SSA_2023_11_20_a</t>
  </si>
  <si>
    <t>CIC_LA_SSA_2023_12_18_a</t>
  </si>
  <si>
    <t>CIC_NA_13_Jan_2020_1</t>
  </si>
  <si>
    <t>CIC_NA_2020_01_13_a</t>
  </si>
  <si>
    <t> </t>
  </si>
  <si>
    <t>No GBS12338 class code set up - early 2020</t>
  </si>
  <si>
    <t>CIC NA</t>
  </si>
  <si>
    <t>Baton Rouge, US</t>
  </si>
  <si>
    <t>Did not get GBC</t>
  </si>
  <si>
    <t>CIC_NA_13_Jan_2020_2</t>
  </si>
  <si>
    <t>CIC_NA_2020_01_13_b</t>
  </si>
  <si>
    <t>Halifax, Canada</t>
  </si>
  <si>
    <t>CIC_NA_27_Jan_2020_1</t>
  </si>
  <si>
    <t>CIC_NA_2020_01_27_a</t>
  </si>
  <si>
    <t>27 January, 2020</t>
  </si>
  <si>
    <t>Monroe, US</t>
  </si>
  <si>
    <t>CIC_NA_03_Feb_2020_1</t>
  </si>
  <si>
    <t>CIC_NA_2020_02_03_a</t>
  </si>
  <si>
    <t>CIC_NA_03_Feb_2020_2</t>
  </si>
  <si>
    <t>CIC_NA_2020_02_03_b</t>
  </si>
  <si>
    <t>Montreal, Canada</t>
  </si>
  <si>
    <t>CIC_NA_10_Feb_2020_1</t>
  </si>
  <si>
    <t>CIC_NA_2020_02_10_a</t>
  </si>
  <si>
    <t>CIC_NA_17_Feb_2020_1</t>
  </si>
  <si>
    <t>CIC_NA_2020_02_17_a</t>
  </si>
  <si>
    <t>CIC_NA_17_Feb_2020_2</t>
  </si>
  <si>
    <t>CIC_NA_2020_02_17_b</t>
  </si>
  <si>
    <t>CIC_NA_24_Feb_2020_1</t>
  </si>
  <si>
    <t>CIC_NA_2020_02_24_a</t>
  </si>
  <si>
    <t>24 February, 2020</t>
  </si>
  <si>
    <t>CIC_NA_2020_03_16_a</t>
  </si>
  <si>
    <t>CIC_NA_2020_03_20_a</t>
  </si>
  <si>
    <t>CIC_NA_2020_03_23_a</t>
  </si>
  <si>
    <t>CIC_NA_06_Apr_2020_1</t>
  </si>
  <si>
    <t>CIC_NA_2020_04_06_a</t>
  </si>
  <si>
    <t>NA_CIC_April20</t>
  </si>
  <si>
    <t>16th March - Rocket Center - 6
23/3/2020 - East Lansing - 3
23rd March - Baton Rouge - 7
6th April - Baton Rouge - 7</t>
  </si>
  <si>
    <t>Rocket Center - 6
East Lansing - 3
Baton Rouge -14</t>
  </si>
  <si>
    <t>October 7-9</t>
  </si>
  <si>
    <t xml:space="preserve">Problem Solving we be delivered to these people during the October 5 virtual Onboarding.  </t>
  </si>
  <si>
    <t>CIC_NA_13_Jul_2020_2020_1</t>
  </si>
  <si>
    <t>CIC_NA_2020_07_13_a</t>
  </si>
  <si>
    <t xml:space="preserve">13 July Halifax (41); Montreal (3) </t>
  </si>
  <si>
    <t>CIC_NA_27_Jul_2020_1</t>
  </si>
  <si>
    <t>CIC_NA_2020_07_27_a</t>
  </si>
  <si>
    <t>July 27:  Baton Rouge (29), Halifax (7), Rocket Center (2), Monroe (4), Lansing (1)</t>
  </si>
  <si>
    <t>CIC_NA_2020_08_17_a</t>
  </si>
  <si>
    <t>CIC_NA_2020_09_21_a</t>
  </si>
  <si>
    <t>n/a</t>
  </si>
  <si>
    <t>21 Sept Haliax (4); Rocket Center (5)</t>
  </si>
  <si>
    <t>25 September, 2020</t>
  </si>
  <si>
    <t>Rocket Center, US; Halifax, CA</t>
  </si>
  <si>
    <t>1. 5 day content</t>
  </si>
  <si>
    <t>Added to backlog.  Will return in future for Problem Solving</t>
  </si>
  <si>
    <t>CIC_NA_2020_11_09_a</t>
  </si>
  <si>
    <t>9 November Baton Rouge (5), East Lansing (2), Halifax (33), Montreal (7)</t>
  </si>
  <si>
    <t>Baton Rouge, US; East Lansing, US; Halifax, CA; Montreal, CA</t>
  </si>
  <si>
    <t>CIC_NA_2021_01_25_a</t>
  </si>
  <si>
    <t>CIC_NA_2021_01_26_a</t>
  </si>
  <si>
    <t>n/a - Apprentice co-hort</t>
  </si>
  <si>
    <t>Apprentice</t>
  </si>
  <si>
    <t>CIC_NA_2021_02_01_a</t>
  </si>
  <si>
    <t>CIC_NA_2021_02_15_a</t>
  </si>
  <si>
    <t>CIC_NA_2021_02_23_a</t>
  </si>
  <si>
    <t>CIC_NA_2021_03_01_a</t>
  </si>
  <si>
    <t>CIC_NA_2021_03_01_b</t>
  </si>
  <si>
    <t>CIC_NA_2021_03_17_a</t>
  </si>
  <si>
    <t>CIC_NA_2021_04_01_a</t>
  </si>
  <si>
    <t>CIC_NA_2021_04_12_a</t>
  </si>
  <si>
    <t>CIC_NA_2021_04_15_a</t>
  </si>
  <si>
    <t>CIC_NA_2021_05_10_a</t>
  </si>
  <si>
    <t>CIC_NA_2021_05_29_a</t>
  </si>
  <si>
    <t>CIC_NA_2021_06_07_a</t>
  </si>
  <si>
    <t>CIC_NA_2021_06_14_a</t>
  </si>
  <si>
    <t>10101004 &amp; 10100999</t>
  </si>
  <si>
    <t>CIC_NA_2021_07_19_a</t>
  </si>
  <si>
    <t>CIC_NA_2021_09_13_a</t>
  </si>
  <si>
    <t>CIC_NA_2021_09_27_a</t>
  </si>
  <si>
    <t>No GBS12338 class code set up - admin error</t>
  </si>
  <si>
    <t>CIC_NA_2021_12_06_a</t>
  </si>
  <si>
    <t>CIC_NA_2022_01_24_a</t>
  </si>
  <si>
    <t>CIC_NA_2022_02_14_a</t>
  </si>
  <si>
    <t>CIC_NA_2022_03_01_a</t>
  </si>
  <si>
    <t>CIC_NA_2022_03_07_a</t>
  </si>
  <si>
    <t>CIC_NA_2022_03_14_a</t>
  </si>
  <si>
    <t>CIC_NA_2022_03_15_a</t>
  </si>
  <si>
    <t>CIC_NA_2022_04_25_a</t>
  </si>
  <si>
    <t>CIC_NA_2022_05_09_a</t>
  </si>
  <si>
    <t>CANCEL CLASS</t>
  </si>
  <si>
    <t>CIC_NA_2022_05_23_a</t>
  </si>
  <si>
    <t>CIC_NA_2022_06_06_a</t>
  </si>
  <si>
    <t>CIC_NA_2022_06_06_b</t>
  </si>
  <si>
    <t>CIC_NA_2022_06_23_a</t>
  </si>
  <si>
    <t>CIC_NA_2022_07_11_a</t>
  </si>
  <si>
    <t>Blended</t>
  </si>
  <si>
    <t>CIC_NA_2022_07_18_a</t>
  </si>
  <si>
    <t>CIC_NA_2022_07_26_a</t>
  </si>
  <si>
    <t>GEO NA - US</t>
  </si>
  <si>
    <t>CIC_NA_2022_08_08_a</t>
  </si>
  <si>
    <t>CIC_NA_2022_08_15_a</t>
  </si>
  <si>
    <t>CIC_NA_2022_08_15_b</t>
  </si>
  <si>
    <t>CIC_NA_2022_09_12_a</t>
  </si>
  <si>
    <t>21 (2 Baton Rouge, 1 Lansing, 13 Halifax, 3 Calgary and 2 Quebec).</t>
  </si>
  <si>
    <t>CIC_NA_2022_10_17_a</t>
  </si>
  <si>
    <t>CIC_NA_2022_11_07_a</t>
  </si>
  <si>
    <t>CIC_NA_2022_12_05_a</t>
  </si>
  <si>
    <t>CIC_NA_2023_01_16_a</t>
  </si>
  <si>
    <t>CIC_NA_2023_02_06_a</t>
  </si>
  <si>
    <t>future class</t>
  </si>
  <si>
    <t>CIC_NA_2023_02_13_a</t>
  </si>
  <si>
    <t>CIC_NA_2023_02_27_a</t>
  </si>
  <si>
    <t>Associates</t>
  </si>
  <si>
    <t>GEO_NA_CA_03_Feb_2020_1</t>
  </si>
  <si>
    <t>GEO_NA_CA_2020_02_03_a</t>
  </si>
  <si>
    <t>NA-CA-Feb17</t>
  </si>
  <si>
    <t>Geo NA - Canada</t>
  </si>
  <si>
    <t>Feb 3-14</t>
  </si>
  <si>
    <t>Toronto, ON, Canada</t>
  </si>
  <si>
    <t xml:space="preserve">Mix of Designer, Consultant, Developer, Data Science
</t>
  </si>
  <si>
    <t>GEO_NA_CA_02_Mar_2020_1</t>
  </si>
  <si>
    <t>GEO_NA_CA_2020_03_02_a</t>
  </si>
  <si>
    <t>NA_CA_March16</t>
  </si>
  <si>
    <t>Mar 2-13</t>
  </si>
  <si>
    <t>Week 1  93 
Week 2 82</t>
  </si>
  <si>
    <t>Custom Survey</t>
  </si>
  <si>
    <t>GEO_NA_CA_20_Apr_2020_1</t>
  </si>
  <si>
    <t>GEO_NA_CA_2020_04_20_a</t>
  </si>
  <si>
    <t>NA-CA-April20</t>
  </si>
  <si>
    <t>Apr 20-May 1</t>
  </si>
  <si>
    <t>1.induction spread across 2 or more segments</t>
  </si>
  <si>
    <t>GEO_NA_CA_13_Jul_2020_1</t>
  </si>
  <si>
    <t>GEO_NA_CA_2020_07_13_a</t>
  </si>
  <si>
    <t>July 13-24</t>
  </si>
  <si>
    <t>GEO_NA_CA_19_Oct_2020_1</t>
  </si>
  <si>
    <t>GEO_NA_CA_2020_10_19_a</t>
  </si>
  <si>
    <t>Oct 19-30</t>
  </si>
  <si>
    <t>GEO_NA_CA_2021_03_15_a</t>
  </si>
  <si>
    <t>GEO NA - Canada</t>
  </si>
  <si>
    <t>GEO_NA_CA_2021_05_03_a</t>
  </si>
  <si>
    <t>GEO_NA_CA_2021_07_12_a</t>
  </si>
  <si>
    <t>GEO_NA_CA_2021_10_25_a</t>
  </si>
  <si>
    <t>GEO_NA_CA_2022_03_07_a</t>
  </si>
  <si>
    <t>GEO_NA_CA_2022_05_09_a</t>
  </si>
  <si>
    <t>GEO_NA_CA_2022_06_13_a</t>
  </si>
  <si>
    <t>GEO_NA_CA_2022_08_08_a</t>
  </si>
  <si>
    <t>GEO_NA_CA_2022_09_12_a</t>
  </si>
  <si>
    <t>GEO_NA_CA_2022_10_17_a</t>
  </si>
  <si>
    <t>GEO_NA_CA_2023_02_06_a</t>
  </si>
  <si>
    <t>20 Canada</t>
  </si>
  <si>
    <t>GEO_NA_CA_2023_03_13_a</t>
  </si>
  <si>
    <t>25 Canada</t>
  </si>
  <si>
    <t>GEO_NA_US_2020_02_03_a</t>
  </si>
  <si>
    <t>Geo NA - US</t>
  </si>
  <si>
    <t>GEO_NA_US_02_Mar_2020_1</t>
  </si>
  <si>
    <t>GEO_NA_US_2020_03_02_a</t>
  </si>
  <si>
    <t>NA_FED_March16</t>
  </si>
  <si>
    <t>Herndon, VA USA</t>
  </si>
  <si>
    <t>March Herndon: Week 1: NPS 0, Week 2 NPS 57
April Virtual Event: NPS 56</t>
  </si>
  <si>
    <t>GEO_NA_US_20_Apr_2020_1</t>
  </si>
  <si>
    <t>GEO_NA_US_2020_04_20_a</t>
  </si>
  <si>
    <t>NA-USComm-April20
+
NA-USFed-April20
Mike, shoiuldn't these be separate cohorts? We need to indicate as a separate cohort in the Deployment tracker and indicate a new cohort name for this one - I think this has already been taken care of???</t>
  </si>
  <si>
    <t>Apr 20-Apr 24</t>
  </si>
  <si>
    <t>Chicago, IL USA</t>
  </si>
  <si>
    <t>GEO_NA_US_13_Jul_2020_1</t>
  </si>
  <si>
    <t>GEO_NA_US_2020_07_13_a</t>
  </si>
  <si>
    <t>GEO_NA_US_17_Aug_2020_1</t>
  </si>
  <si>
    <t>GEO_NA_US_2020_08_17_a</t>
  </si>
  <si>
    <t>Aug 17-28</t>
  </si>
  <si>
    <t>GEO_NA_US_24_Aug_2020_1</t>
  </si>
  <si>
    <t>GEO_NA_US_2020_08_24_a</t>
  </si>
  <si>
    <t>Aug 24- Sept 4</t>
  </si>
  <si>
    <t>GEO_NA_US_14_Sep_2020_1</t>
  </si>
  <si>
    <t>GEO_NA_US_2020_09_14_a</t>
  </si>
  <si>
    <t>Sept 14-25</t>
  </si>
  <si>
    <t>GEO_NA_US_19_Oct_2020_1</t>
  </si>
  <si>
    <t>GEO_NA_US_2020_10_19_a</t>
  </si>
  <si>
    <t>GEO_NA_US_02_Nov_2020_1</t>
  </si>
  <si>
    <t>GEO_NA_US_2020_11_02_a</t>
  </si>
  <si>
    <t>Nov 2-13</t>
  </si>
  <si>
    <t>GEO_NA_US_2021_01_13_a</t>
  </si>
  <si>
    <t>GEO_NA_US_2021_03_15_a</t>
  </si>
  <si>
    <t>GEO_NA_US_2021_05_03_a</t>
  </si>
  <si>
    <t>GEO_NA_US_2021_06_07_a</t>
  </si>
  <si>
    <t>GEO_NA_US_2021_07_12_a</t>
  </si>
  <si>
    <t>GEO_NA_US_2021_08_09_a</t>
  </si>
  <si>
    <t>GEO_NA_US_2021_09_27_a</t>
  </si>
  <si>
    <t>No class code set up</t>
  </si>
  <si>
    <t>GEO_NA_US_2021_10_25_a</t>
  </si>
  <si>
    <t>GEO_NA_US_2022_02_05_a</t>
  </si>
  <si>
    <t>GEO_NA_US_2022_02_14_a</t>
  </si>
  <si>
    <t>GEO_NA_US_2022_02_15_a</t>
  </si>
  <si>
    <t>GEO_NA_US_2022_03_07_a</t>
  </si>
  <si>
    <t>GEO_NA_US_2022_04_04_a</t>
  </si>
  <si>
    <t>GEO_NA_US_2022_05_09_a</t>
  </si>
  <si>
    <t>GEO_NA_US_2022_06_13_a</t>
  </si>
  <si>
    <t>10255373 &amp; 10275947</t>
  </si>
  <si>
    <t>GEO_NA_US_2022_07_09_a</t>
  </si>
  <si>
    <t>GEO_NA_US_2022_07_18_a</t>
  </si>
  <si>
    <t>GEO_NA_US_2022_07_18_b</t>
  </si>
  <si>
    <t>GEO_NA_US_2022_08_01_a</t>
  </si>
  <si>
    <t>GEO_NA_US_2022_08_08_a</t>
  </si>
  <si>
    <t>GEO_NA_US_2022_08_08_b</t>
  </si>
  <si>
    <t>GEO_NA_US_2022_09_12_a</t>
  </si>
  <si>
    <t>36 coml</t>
  </si>
  <si>
    <t>GEO_NA_US_2022_09_12_b</t>
  </si>
  <si>
    <t>11 federal
25 canada
7 CIC Rocket Center</t>
  </si>
  <si>
    <t>GEO_NA_US_2022_10_17_a</t>
  </si>
  <si>
    <t>GEO_NA_US_2022_11_01_a</t>
  </si>
  <si>
    <t>https://ibm.ent.box.com/folder/192595505361</t>
  </si>
  <si>
    <t>GEO_NA_US_2023_01_23_a</t>
  </si>
  <si>
    <t>GEO_NA_US_2023_02_06_a</t>
  </si>
  <si>
    <t>10 US</t>
  </si>
  <si>
    <t>GEO_NA_US_2023_02_18_a</t>
  </si>
  <si>
    <t>2023_01_23_a</t>
  </si>
  <si>
    <t>2023</t>
  </si>
  <si>
    <t>01</t>
  </si>
  <si>
    <t>23</t>
  </si>
  <si>
    <t xml:space="preserve"> </t>
  </si>
  <si>
    <t>GEO_NA_US_2023_03_13_a</t>
  </si>
  <si>
    <t>10 US, Fed 15</t>
  </si>
  <si>
    <t>CIC_MEA_06_Sep_2020_1</t>
  </si>
  <si>
    <t>CIC_MEA_2020_11_23_a</t>
  </si>
  <si>
    <t>10089834      10089837</t>
  </si>
  <si>
    <t>CIC MEA</t>
  </si>
  <si>
    <t xml:space="preserve">Multiple </t>
  </si>
  <si>
    <t xml:space="preserve">Pakistan/Egypt/Morocco </t>
  </si>
  <si>
    <r>
      <t>12 associates from 3 countries in MEA CIC(Pakistan/Egypt/Morocco)  and in order to mange the class with diff time zones , working hours , working days &amp; publicays, the 10 days training will be split into 4 weeks to accomodte timezones of all countries .....</t>
    </r>
    <r>
      <rPr>
        <b/>
        <sz val="11"/>
        <color theme="1"/>
        <rFont val="Calibri"/>
        <family val="2"/>
        <scheme val="minor"/>
      </rPr>
      <t>.Pilot date pushed to 23 Nov as per latest update from Nahla</t>
    </r>
  </si>
  <si>
    <t>CIC_MEA_2021_11_01_a</t>
  </si>
  <si>
    <t>Pakistan/Morocco</t>
  </si>
  <si>
    <t>CIC_MEA_2021_12_01_a</t>
  </si>
  <si>
    <t>Multiple</t>
  </si>
  <si>
    <t>Egypt/Paksitan/SouthAfrica/Morocco</t>
  </si>
  <si>
    <t>exempt from induction</t>
  </si>
  <si>
    <t>CIC_MEA_2022_02_14_a</t>
  </si>
  <si>
    <t>Pakistan</t>
  </si>
  <si>
    <t>CIC_MEA_2022_03_21_a</t>
  </si>
  <si>
    <t>Egypt/Morocco</t>
  </si>
  <si>
    <t>CIC_MEA_2022_06_05_a</t>
  </si>
  <si>
    <t>Egypt/Pakistan</t>
  </si>
  <si>
    <t>CIC_MEA_2022_10_09_a</t>
  </si>
  <si>
    <t>CIC_MEA_2023_03_19_a</t>
  </si>
  <si>
    <t>19-03-2023</t>
  </si>
  <si>
    <t>30,March,2023</t>
  </si>
  <si>
    <t>Egypt/Pakistan/SouthAfrica</t>
  </si>
  <si>
    <t>GEO_MEA_15_Aug_2020_1</t>
  </si>
  <si>
    <t>GEO_MEA_2020_12_08_a</t>
  </si>
  <si>
    <t>10094352
10094596</t>
  </si>
  <si>
    <t>Geo MEA</t>
  </si>
  <si>
    <t>4th Dec</t>
  </si>
  <si>
    <t>UAE/Saudi</t>
  </si>
  <si>
    <t>w1 December 2020</t>
  </si>
  <si>
    <t>12 Associates in KSA and UAE to join in the first week of December 2020</t>
  </si>
  <si>
    <t>GEO_MEA_2021_12_05_a</t>
  </si>
  <si>
    <t>Saudi</t>
  </si>
  <si>
    <t>Henry Donald</t>
  </si>
  <si>
    <t>Very small cohort so content from Days 1&amp;2 able to be delivered in a single calendar day</t>
  </si>
  <si>
    <t>GEO_Japan_06_Apr_2020_1</t>
  </si>
  <si>
    <t>GEO_Japan_2020_04_06_a</t>
  </si>
  <si>
    <t>Geo Japan</t>
  </si>
  <si>
    <t>Q2</t>
    <phoneticPr fontId="11"/>
  </si>
  <si>
    <t>Japan (Hiroshima)</t>
  </si>
  <si>
    <t>Mix of Consultant, Technical Specialist, Data Scientist, Designer</t>
    <phoneticPr fontId="11"/>
  </si>
  <si>
    <t>1. Longer Induction duration
2. Longer Technical Learning duration
3. Induction spread across 2 or more segments</t>
  </si>
  <si>
    <t>defer agile and EDT activities as virtual
1st cont September EDT
2nd Cont October Agile</t>
  </si>
  <si>
    <t>GEO_Japan_06_Apr_2020_2</t>
  </si>
  <si>
    <t>GEO_Japan_2020_04_06_b</t>
  </si>
  <si>
    <t>GEO_Japan_09_Apr_2020_1</t>
  </si>
  <si>
    <t>GEO_Japan_2020_04_09_a</t>
  </si>
  <si>
    <t>Japan (Tokyo)</t>
  </si>
  <si>
    <t>GEO_Japan_09_Apr_2020_2</t>
  </si>
  <si>
    <t>GEO_Japan_2020_04_09_b</t>
  </si>
  <si>
    <t>GEO_Japan_13_Apr_2020_1</t>
  </si>
  <si>
    <t>GEO_Japan_2020_04_13_a</t>
  </si>
  <si>
    <t>GEO_Japan_05_Oct_2020_1</t>
  </si>
  <si>
    <t>GEO_Japan_2020_10_05_a</t>
  </si>
  <si>
    <t>Q4</t>
    <phoneticPr fontId="11"/>
  </si>
  <si>
    <t>Japan (Tokyo)</t>
    <phoneticPr fontId="11"/>
  </si>
  <si>
    <t>Consultant, Technical Specialist, Data Scientist, Designer</t>
  </si>
  <si>
    <t>1. Technical education not consecutively following induction
2. Project Delayed</t>
  </si>
  <si>
    <t>1. Substantial gap between end of induction training and technical learning due to local training
Substantial gap between end of technical learning and project due 2. to local holidays
There will be an in between local training after the 10 day induction and before the technical learning
Project start will be January 12 because of local holidays</t>
    <phoneticPr fontId="10"/>
  </si>
  <si>
    <t>GEO_Japan_2021_04_12_a</t>
  </si>
  <si>
    <t>Q2</t>
    <phoneticPr fontId="10"/>
  </si>
  <si>
    <t>GEO_Japan_2021_10_11_a</t>
  </si>
  <si>
    <t>Consultant, Technical Specialist</t>
    <phoneticPr fontId="10"/>
  </si>
  <si>
    <t>GEO_Japan_2022_04_07_a</t>
  </si>
  <si>
    <t>Consultant, Technical Specialist, Data Scientist, Designer</t>
    <phoneticPr fontId="10"/>
  </si>
  <si>
    <t>GEO_Japan_2022_10_11_a</t>
  </si>
  <si>
    <t>Consultant, Technical Specialist, Designer</t>
    <phoneticPr fontId="10"/>
  </si>
  <si>
    <t>GEO_AP_ANZ_03_Feb_2020_1</t>
  </si>
  <si>
    <t>GEO_AP_ANZ_2020_02_03_a</t>
  </si>
  <si>
    <t>AP-MEL-Feb-17</t>
  </si>
  <si>
    <t>Geo AP</t>
  </si>
  <si>
    <t>Melbourne, Australia</t>
  </si>
  <si>
    <t>Consultant, , Data Scientist, Designer, Developer</t>
  </si>
  <si>
    <t>1.Longer Technical Education duration
2. Technical learning and project running concurrently</t>
  </si>
  <si>
    <t xml:space="preserve"> for technical learning path, For feb Associate, there were discussion with the Market Associate PM (Kim for ANZ). They consulted the local business leaders and the dates were given despite the fact completion should be within 6 weeks. Mei has also communicated the completion date to Kara.</t>
  </si>
  <si>
    <t>GEO_AP_ANZ_06_Jul_2020_1</t>
  </si>
  <si>
    <t>GEO_AP_ANZ_2020_07_06_a</t>
  </si>
  <si>
    <t>AP_ANZ_July20</t>
  </si>
  <si>
    <t>Feb - 2, Mar - 3, Apr - 1 &amp; Jul - 4</t>
  </si>
  <si>
    <t>ANZ</t>
  </si>
  <si>
    <t>Consultant, , Data Scientist, Designer, Developer, PM</t>
  </si>
  <si>
    <t>GEO_AP_KR_03_Aug_2020_1</t>
  </si>
  <si>
    <t>GEO_AP_KR_2020_08_03_a</t>
  </si>
  <si>
    <t>Aug</t>
  </si>
  <si>
    <t>Seoul, Korea</t>
  </si>
  <si>
    <t>GEO_AP_ISA_01_Sep_2020_1</t>
  </si>
  <si>
    <t>GEO_AP_ISA_2020_09_03_a</t>
  </si>
  <si>
    <t>Sep</t>
  </si>
  <si>
    <t>ISA</t>
  </si>
  <si>
    <t>Consultant</t>
  </si>
  <si>
    <t>GEO_AP_ASEAN_01_Oct_2020_1</t>
  </si>
  <si>
    <t>GEO_AP_ASEAN_2020_10_05_a</t>
  </si>
  <si>
    <t>Oct</t>
  </si>
  <si>
    <t>Asean</t>
  </si>
  <si>
    <t>Consultant, Designer, Developer and PM</t>
  </si>
  <si>
    <t>Added SG number as SG has merged with ASEAN</t>
  </si>
  <si>
    <t>GEO_AP_KR_2021_01_04_a</t>
  </si>
  <si>
    <t>Korea</t>
  </si>
  <si>
    <t>GEO_AP_ANZ_2021_03_01_a</t>
  </si>
  <si>
    <t>Consultant, Developer, PM</t>
  </si>
  <si>
    <t>Completed</t>
  </si>
  <si>
    <t>GEO_AP_ANZ_2021_04_12_a</t>
  </si>
  <si>
    <t>10099353, 10100604</t>
  </si>
  <si>
    <t>GEO_AP_ANZ_2021_07_05_a</t>
  </si>
  <si>
    <t>GEO_AP_ISA_2021_08_07_a</t>
  </si>
  <si>
    <t>GEO_AP_ASEAN_2021_07_05_a</t>
  </si>
  <si>
    <t>GEO_AP_ANZ_2021_10_11_a</t>
  </si>
  <si>
    <t>GEO_AP_ANZ_2021_04_05_a</t>
  </si>
  <si>
    <t>GEO_AP_ASEAN_2021_10_11_a</t>
  </si>
  <si>
    <t>ASEAN</t>
  </si>
  <si>
    <t>GEO_AP_KR_2021_11_26_a</t>
  </si>
  <si>
    <t>GEO_AP_ASEAN_2022_02_17_a</t>
  </si>
  <si>
    <t>GEO_AP_ANZ_2022_03_01_a</t>
  </si>
  <si>
    <t>GEO_AP_KR_2022_05_11_a</t>
  </si>
  <si>
    <t>GEO_AP_ASEAN_2022_07_04_a</t>
  </si>
  <si>
    <t>GEO_AP_ANZ_2022_07_11_a</t>
  </si>
  <si>
    <t>GEO_AP_ISA_2022_07_27_a</t>
  </si>
  <si>
    <t>GEO_AP_ISA_2022_08_24_a</t>
  </si>
  <si>
    <t>GEO_AP_ASEAN_2022_10_03_a</t>
  </si>
  <si>
    <t>GEO AP</t>
  </si>
  <si>
    <t>GEO_AP_ISA_2022_11_21_a</t>
  </si>
  <si>
    <t>GEO_AP_KR_2022_12_12_a</t>
  </si>
  <si>
    <t>GEO_AP_ASEAN_2023_01_06_a</t>
  </si>
  <si>
    <t>GEO_AP_ANZ_2023_02_27_a</t>
  </si>
  <si>
    <t>Geo</t>
  </si>
  <si>
    <t>CIC</t>
  </si>
  <si>
    <t>Geo + CIC</t>
  </si>
  <si>
    <t># of EPH - Complete</t>
  </si>
  <si>
    <t># of EPH - In Progress</t>
  </si>
  <si>
    <t># of EPH - Planned</t>
  </si>
  <si>
    <t># of EPH - Tentative</t>
  </si>
  <si>
    <t># of EPH - Total</t>
  </si>
  <si>
    <t># of Cohorts</t>
  </si>
  <si>
    <t># of EPH - Complete - Geo</t>
  </si>
  <si>
    <t># of EPH - Planned - Geo</t>
  </si>
  <si>
    <t># of EPH - Total - Geo</t>
  </si>
  <si>
    <t># of EPH - Complete - CIC</t>
  </si>
  <si>
    <t># of EPH - Planned - CIC</t>
  </si>
  <si>
    <t># of EPH - Total - CIC</t>
  </si>
  <si>
    <t>On-Boarding Total</t>
  </si>
  <si>
    <t>Cohort Total</t>
  </si>
  <si>
    <t># of cohorts using Legacy Curriculum</t>
  </si>
  <si>
    <t># of cohorts using New Curriculum</t>
  </si>
  <si>
    <t># of F2F cohorts</t>
  </si>
  <si>
    <t># of virtual cohorts</t>
  </si>
  <si>
    <t># of Complete cohorts</t>
  </si>
  <si>
    <t># of In Progress cohorts</t>
  </si>
  <si>
    <t># of Planned cohorts</t>
  </si>
  <si>
    <t># of Tentative cohorts</t>
  </si>
  <si>
    <t>India</t>
  </si>
  <si>
    <t>China</t>
  </si>
  <si>
    <t>Western Europe</t>
  </si>
  <si>
    <t>Philippines</t>
  </si>
  <si>
    <t>LA</t>
  </si>
  <si>
    <t>MEA</t>
  </si>
  <si>
    <t>Japan</t>
  </si>
  <si>
    <t>AP</t>
  </si>
  <si>
    <t>Instance number/Class code</t>
  </si>
  <si>
    <t>Geo/CIC</t>
  </si>
  <si>
    <t>Growth Survey Debrief/Stay Ahead Event</t>
  </si>
  <si>
    <t>Start Date</t>
  </si>
  <si>
    <t>Version
(2 days - Current / 1 day version - New)</t>
  </si>
  <si>
    <t># of Associates</t>
  </si>
  <si>
    <t># of Associates Completed in COGNOS 210 Education Details Report</t>
  </si>
  <si>
    <t>Approximate Schedule</t>
  </si>
  <si>
    <t/>
  </si>
  <si>
    <t>Geo EU</t>
  </si>
  <si>
    <t>Growth Survey Debrief</t>
  </si>
  <si>
    <t>Stay Ahead Event</t>
  </si>
  <si>
    <t>2 days</t>
  </si>
  <si>
    <t>29 June to 1 July</t>
  </si>
  <si>
    <t>CIC EU</t>
  </si>
  <si>
    <t>done</t>
  </si>
  <si>
    <t>20th to 22nd Apr</t>
  </si>
  <si>
    <t>Geo NA (All)</t>
  </si>
  <si>
    <t>1 hour</t>
  </si>
  <si>
    <t>Combined US Domestic, Canada Domestic, NA CIC</t>
  </si>
  <si>
    <t>Geo NA US</t>
  </si>
  <si>
    <t>Geo NA Canada</t>
  </si>
  <si>
    <t>Geo NA CICs</t>
  </si>
  <si>
    <t>Done - Mexico</t>
  </si>
  <si>
    <t>Done - Brazil</t>
  </si>
  <si>
    <t>Done - SSA</t>
  </si>
  <si>
    <t>20-21 May</t>
  </si>
  <si>
    <t>Done - Mexico and SSA</t>
  </si>
  <si>
    <t>Confirmed - Mexico and SSA</t>
  </si>
  <si>
    <t>22-23 July</t>
  </si>
  <si>
    <t>Week of 12 April</t>
  </si>
  <si>
    <t>Week of 19 Apr</t>
  </si>
  <si>
    <t>Japan</t>
    <phoneticPr fontId="10"/>
  </si>
  <si>
    <t>Done</t>
    <phoneticPr fontId="10"/>
  </si>
  <si>
    <t>Planed</t>
    <phoneticPr fontId="10"/>
  </si>
  <si>
    <t>Confirmed Pilot</t>
    <phoneticPr fontId="10"/>
  </si>
  <si>
    <t>June 14-15</t>
    <phoneticPr fontId="10"/>
  </si>
  <si>
    <t>Confirmed</t>
    <phoneticPr fontId="10"/>
  </si>
  <si>
    <t>July 1-2</t>
    <phoneticPr fontId="10"/>
  </si>
  <si>
    <t>July 12-13</t>
    <phoneticPr fontId="10"/>
  </si>
  <si>
    <t>July 28-29</t>
    <phoneticPr fontId="10"/>
  </si>
  <si>
    <t>August 24-25</t>
    <phoneticPr fontId="10"/>
  </si>
  <si>
    <t>September 2-3</t>
    <phoneticPr fontId="10"/>
  </si>
  <si>
    <t>Confirmed</t>
  </si>
  <si>
    <t>Week of 12 -16 April</t>
  </si>
  <si>
    <t xml:space="preserve">3-5 May </t>
  </si>
  <si>
    <t>Geo_China</t>
    <phoneticPr fontId="10"/>
  </si>
  <si>
    <t>For 2020 1H,Week of April 12th</t>
    <phoneticPr fontId="10"/>
  </si>
  <si>
    <t>CIC_China</t>
    <phoneticPr fontId="10"/>
  </si>
  <si>
    <t>10101471/ 10102727</t>
  </si>
  <si>
    <t>Pre-session: June4, 2days session:June 8&amp;June9</t>
    <phoneticPr fontId="10"/>
  </si>
  <si>
    <t>Pre-session:June3,2days session:June 6&amp;June7</t>
    <phoneticPr fontId="10"/>
  </si>
  <si>
    <t>Tentative</t>
    <phoneticPr fontId="10"/>
  </si>
  <si>
    <t>For 2020 2H,Week of Aug 23th</t>
    <phoneticPr fontId="10"/>
  </si>
  <si>
    <t>1 day</t>
  </si>
  <si>
    <t>For 2020 2H,Pre-sesson:Nov 4th, 2days session:Nov 5th&amp;6th</t>
    <phoneticPr fontId="10"/>
  </si>
  <si>
    <t>For 2020 2H,Pre-sesson:Dec 2nd, 2days session:Dec 3rd&amp;4th</t>
    <phoneticPr fontId="10"/>
  </si>
  <si>
    <t>For 2020 2H,Week of Aug 23th</t>
  </si>
  <si>
    <t xml:space="preserve">June </t>
  </si>
  <si>
    <t>CIC_Philippines</t>
  </si>
  <si>
    <t>Cancelled</t>
  </si>
  <si>
    <t>Nov date TBD</t>
  </si>
  <si>
    <t>EMEA pilot of new content</t>
  </si>
  <si>
    <t>1.5 hours</t>
  </si>
  <si>
    <t>NA CIC</t>
  </si>
  <si>
    <t>Confirmed - ** Combined US,, CA, and CIC</t>
  </si>
  <si>
    <t>Week of 8 Nov</t>
  </si>
  <si>
    <t>Done - CIC PH</t>
  </si>
  <si>
    <t>cancel / reschedule</t>
  </si>
  <si>
    <t>Rescheduled</t>
  </si>
  <si>
    <t>May TBD</t>
  </si>
  <si>
    <t>GEO EU</t>
  </si>
  <si>
    <t>CIC_LA</t>
  </si>
  <si>
    <t>10302925 </t>
  </si>
  <si>
    <t>10302925 /10311057</t>
  </si>
  <si>
    <r>
      <rPr>
        <b/>
        <u/>
        <sz val="11"/>
        <color theme="1"/>
        <rFont val="IBM Plex Sans"/>
        <family val="2"/>
      </rPr>
      <t xml:space="preserve">Internship deployment tracker usage notes: </t>
    </r>
    <r>
      <rPr>
        <sz val="9"/>
        <color theme="1"/>
        <rFont val="IBM Plex Sans"/>
        <family val="2"/>
      </rPr>
      <t xml:space="preserve">
 -Each row shows progression from projected demand (yellow) through actual (green) hires to converted (blue) actual.  
 -Data validation is enabled on several columns to support data entry accuracy for reporting. 
 -Use a new row for each cohort by intern category being forecasted.  
 -Make effort to input data in each cell, as these details help forecast the support resources needed by support teams, along with demand/actual reporting to global leadership.
 -As needed, share relvant notes using the "New Comment"  feature on the appriopriate cell.
</t>
    </r>
  </si>
  <si>
    <t>Projected</t>
  </si>
  <si>
    <t>Actuals</t>
  </si>
  <si>
    <t xml:space="preserve"> Conversion</t>
  </si>
  <si>
    <t>Location</t>
  </si>
  <si>
    <t xml:space="preserve">Projected Intern Category </t>
  </si>
  <si>
    <t>Projected # of Hires</t>
  </si>
  <si>
    <t>Projected Year of Start</t>
  </si>
  <si>
    <t>Projected Quarter of Start</t>
  </si>
  <si>
    <t>Projected Month of Start</t>
  </si>
  <si>
    <t>Projected Induction Start  Date</t>
  </si>
  <si>
    <r>
      <t>Projected</t>
    </r>
    <r>
      <rPr>
        <sz val="9"/>
        <color theme="1"/>
        <rFont val="IBM Plex Sans"/>
        <family val="2"/>
      </rPr>
      <t xml:space="preserve"> </t>
    </r>
    <r>
      <rPr>
        <b/>
        <sz val="9"/>
        <color theme="1"/>
        <rFont val="IBM Plex Sans"/>
        <family val="2"/>
      </rPr>
      <t>Induction Delivery Type</t>
    </r>
  </si>
  <si>
    <r>
      <t xml:space="preserve">Projected Class Location 
</t>
    </r>
    <r>
      <rPr>
        <sz val="7"/>
        <color theme="1"/>
        <rFont val="IBM Plex Sans"/>
        <family val="2"/>
      </rPr>
      <t>For LVC enter closest IBM Office 
For F2F enter planned site to be utilized for class delivery</t>
    </r>
  </si>
  <si>
    <t xml:space="preserve">Actual Intern Category </t>
  </si>
  <si>
    <t># of Hires</t>
  </si>
  <si>
    <t>Actual Year of Start</t>
  </si>
  <si>
    <t>Actual Quarter of Start</t>
  </si>
  <si>
    <t>Actual Month of Start</t>
  </si>
  <si>
    <t>Actual Induction Start Date</t>
  </si>
  <si>
    <t>Actual Induction Delivery Type</t>
  </si>
  <si>
    <t>Actual                      # Coverted to Associates</t>
  </si>
  <si>
    <t>Geo NA</t>
  </si>
  <si>
    <t>Co-op Standard (4-12 Months)</t>
  </si>
  <si>
    <t xml:space="preserve">LVC </t>
  </si>
  <si>
    <t>Various - Canada</t>
  </si>
  <si>
    <t>Various - US</t>
  </si>
  <si>
    <t xml:space="preserve">March </t>
  </si>
  <si>
    <t>Internship ( &gt;4 Months)</t>
  </si>
  <si>
    <t>Geo APAC</t>
  </si>
  <si>
    <t>Australia (Ballarat, Perth, Sydney)</t>
  </si>
  <si>
    <t>Geo GCG</t>
  </si>
  <si>
    <t>CIC GCG</t>
  </si>
  <si>
    <t>CIC PH</t>
  </si>
  <si>
    <t>GEO NA</t>
  </si>
  <si>
    <t>-</t>
  </si>
  <si>
    <t>Various - CICs CEE</t>
  </si>
  <si>
    <t>Various  - CICs CEE</t>
  </si>
  <si>
    <t xml:space="preserve">November </t>
  </si>
  <si>
    <t>December 5, 2022</t>
  </si>
  <si>
    <t>UAE and Saudi Arabia</t>
  </si>
  <si>
    <t>Australia (Ballarat, Bathurst, Brisbane, Joondalup)</t>
  </si>
  <si>
    <t>India (Bangalore - BCIT)</t>
  </si>
  <si>
    <t>UAE, Saudi Arabia</t>
  </si>
  <si>
    <t xml:space="preserve">Interns Deployment/Planning Tracker Data Validation </t>
  </si>
  <si>
    <t xml:space="preserve">Intern Category </t>
  </si>
  <si>
    <t>Year of Start</t>
  </si>
  <si>
    <t>Quarter of Start</t>
  </si>
  <si>
    <t>Month of Start</t>
  </si>
  <si>
    <t>Induction Date</t>
  </si>
  <si>
    <t>Induction Delivery Type</t>
  </si>
  <si>
    <t>CIC APAC</t>
  </si>
  <si>
    <t>MM/DD/YYYY</t>
  </si>
  <si>
    <t>Co-op Extended ( &lt; 12 Months)</t>
  </si>
  <si>
    <t>CIC Japan</t>
  </si>
  <si>
    <t>Geo India</t>
  </si>
  <si>
    <t>Geo LA</t>
  </si>
  <si>
    <t>Geo PH</t>
  </si>
  <si>
    <t>By Component</t>
  </si>
  <si>
    <t>Overall</t>
  </si>
  <si>
    <t>CIC/Geo</t>
  </si>
  <si>
    <t>GEO, Legacy and Modality</t>
  </si>
  <si>
    <t>New vs Legacy</t>
  </si>
  <si>
    <t>F2F vs Virtual</t>
  </si>
  <si>
    <t>Status of IBM Onboarding</t>
  </si>
  <si>
    <t>Status of 10 day induction</t>
  </si>
  <si>
    <t>Status of Technical Learning</t>
  </si>
  <si>
    <t>% Completion of Technical Learning</t>
  </si>
  <si>
    <t>Status of SPO</t>
  </si>
  <si>
    <t>Status of Experienced Associates Event</t>
  </si>
  <si>
    <t>IBM Onboarding</t>
  </si>
  <si>
    <t>10 Day Induction</t>
  </si>
  <si>
    <t>Technical Learning</t>
  </si>
  <si>
    <t>SPOs</t>
  </si>
  <si>
    <t>Experienced Associate Event</t>
  </si>
  <si>
    <t>CIC CEE:</t>
  </si>
  <si>
    <t>CIC India:</t>
  </si>
  <si>
    <t>CIC WE:</t>
  </si>
  <si>
    <t>GEO AP:</t>
  </si>
  <si>
    <t>CIC LA:</t>
  </si>
  <si>
    <t>CIC MEA:</t>
  </si>
  <si>
    <t xml:space="preserve">Jan. 01 – Bucharest </t>
  </si>
  <si>
    <t xml:space="preserve">Feb. 01 - Bucharest </t>
  </si>
  <si>
    <t>Mar. 01 – Bucharest</t>
  </si>
  <si>
    <t xml:space="preserve">Apr. 06 –Bangalore           </t>
  </si>
  <si>
    <t>May 11 – Bucharest</t>
  </si>
  <si>
    <t>CIC WE</t>
  </si>
  <si>
    <t>Jun. 04 – AU, UK, NL</t>
  </si>
  <si>
    <t>GEO</t>
  </si>
  <si>
    <t>Jul. 06 – ANZ</t>
  </si>
  <si>
    <t>Aug. 03 – Korea</t>
  </si>
  <si>
    <t xml:space="preserve">Sept. 01 – ISA </t>
  </si>
  <si>
    <t>Oct. 01 – Mexico</t>
  </si>
  <si>
    <t>Nov. 01 – Mexico</t>
  </si>
  <si>
    <t>Dec. 06 – Egypt</t>
  </si>
  <si>
    <t xml:space="preserve">GEO AP: </t>
  </si>
  <si>
    <t>CIC NA:</t>
  </si>
  <si>
    <t>GEO NA – US:</t>
  </si>
  <si>
    <t>CIC NA :</t>
  </si>
  <si>
    <t xml:space="preserve">Jan. 02 – Seoul </t>
  </si>
  <si>
    <t xml:space="preserve">Feb. 03 – Baton Rouge </t>
  </si>
  <si>
    <t xml:space="preserve">Mar. 02  - Herndon </t>
  </si>
  <si>
    <t>Apr. 06 – EL, RC, BR</t>
  </si>
  <si>
    <t>May 14 – Brazil</t>
  </si>
  <si>
    <t>Jun 09 – Brazil</t>
  </si>
  <si>
    <t xml:space="preserve">Jul. 06 – Bucharest </t>
  </si>
  <si>
    <t>Aug. 03 – Bucharest</t>
  </si>
  <si>
    <t>Sept. 04 – Mexico</t>
  </si>
  <si>
    <t>Oct. 01 – ASEAN</t>
  </si>
  <si>
    <t>Nov. 02 – Bucharest</t>
  </si>
  <si>
    <t>Dec. 07 – Bucharest</t>
  </si>
  <si>
    <t xml:space="preserve">Feb. 03 – Montreal </t>
  </si>
  <si>
    <t>GEO NA – Canada:</t>
  </si>
  <si>
    <t>GEO Japan:</t>
  </si>
  <si>
    <t>May 15 – Mexico</t>
  </si>
  <si>
    <t>Jun. 10 – Mexico</t>
  </si>
  <si>
    <t>Jul. 06 – Brazil</t>
  </si>
  <si>
    <t>CIC PH:</t>
  </si>
  <si>
    <t>GEO JAPAN:</t>
  </si>
  <si>
    <t>Jan. 13 – Baton Rouge</t>
  </si>
  <si>
    <t>Geo NA – Canada:</t>
  </si>
  <si>
    <t>Mar. 02 – Toronto</t>
  </si>
  <si>
    <t xml:space="preserve">Apr. 06 – Hiroshima </t>
  </si>
  <si>
    <t>CIC China:</t>
  </si>
  <si>
    <t>GEO China</t>
  </si>
  <si>
    <t>PH</t>
  </si>
  <si>
    <t>Aug.  03 – Quezon City</t>
  </si>
  <si>
    <t>Sept. 06 Egypt</t>
  </si>
  <si>
    <t>Oct. 01 – Tokyo</t>
  </si>
  <si>
    <t>Nov. 02 – Morocco</t>
  </si>
  <si>
    <t>Dec. 11 – SSA</t>
  </si>
  <si>
    <t xml:space="preserve">Jan. 13 – Halifax </t>
  </si>
  <si>
    <t xml:space="preserve">Feb. 03 - Toronto </t>
  </si>
  <si>
    <t>May 20 –Dalian</t>
  </si>
  <si>
    <t>Jul 07 - HK</t>
  </si>
  <si>
    <t>Sept. 06 Pakistan</t>
  </si>
  <si>
    <t>Dec. 11 – Brazil</t>
  </si>
  <si>
    <t xml:space="preserve">CIC India: </t>
  </si>
  <si>
    <t xml:space="preserve">Mar. 09 – Bangalore </t>
  </si>
  <si>
    <t>Apr. 09 – Tokyo</t>
  </si>
  <si>
    <t>Aug. 03 – Bangalore</t>
  </si>
  <si>
    <t>Sept. 06 Pakistan, Egypt, Others</t>
  </si>
  <si>
    <t>Oct. 05  - Bucharest</t>
  </si>
  <si>
    <t>Nov. 02 – Bangalore</t>
  </si>
  <si>
    <t>Jan. 14 -  Bangalore</t>
  </si>
  <si>
    <t>Feb. 03 – Melbourne</t>
  </si>
  <si>
    <t>May 26 – SSA</t>
  </si>
  <si>
    <t xml:space="preserve">Jul. 09 – Mexico </t>
  </si>
  <si>
    <t>Jan. 22 – Bangalore</t>
  </si>
  <si>
    <t xml:space="preserve">Apr. 13 – Tokyo </t>
  </si>
  <si>
    <t>GEO China:</t>
  </si>
  <si>
    <t>Aug. 04 – Mexico</t>
  </si>
  <si>
    <t>Sept. 07 – Leicester</t>
  </si>
  <si>
    <t>Oct. 05 – Bangalore</t>
  </si>
  <si>
    <t>Nov. 02– Chicago</t>
  </si>
  <si>
    <t xml:space="preserve">Jan. 27 – Bangalore </t>
  </si>
  <si>
    <t>Feb. 10 – Halifax</t>
  </si>
  <si>
    <t>May 27 – Beijing + TBD</t>
  </si>
  <si>
    <t>Jul. 13 – Chicago</t>
  </si>
  <si>
    <t>GEO WE:</t>
  </si>
  <si>
    <t>Apr. 20 – Chicago</t>
  </si>
  <si>
    <t>Aug. 03 – 8 locs</t>
  </si>
  <si>
    <t>Geo WE</t>
  </si>
  <si>
    <t>Sept. 07- Various Countries</t>
  </si>
  <si>
    <t>Nov. 09 – Germany</t>
  </si>
  <si>
    <t xml:space="preserve">Jan. 27 - Monroe </t>
  </si>
  <si>
    <t>Feb. 10 -  Germany</t>
  </si>
  <si>
    <t>GEO NA Canada</t>
  </si>
  <si>
    <t>Apr. 20 – Toronto</t>
  </si>
  <si>
    <t xml:space="preserve">Jul. 13 – Toronto </t>
  </si>
  <si>
    <t>Oct. 12 – UK</t>
  </si>
  <si>
    <t>GEO WE</t>
  </si>
  <si>
    <t>Aug. 10  - UK</t>
  </si>
  <si>
    <t xml:space="preserve">Sept. 07 – Bangalore </t>
  </si>
  <si>
    <t>Nov. 16 – SSA</t>
  </si>
  <si>
    <t xml:space="preserve">Feb. 17 – Baton Rouge </t>
  </si>
  <si>
    <t xml:space="preserve">Jul. 13 – Halifax </t>
  </si>
  <si>
    <t>GEO MEA:</t>
  </si>
  <si>
    <t>Oct. 12 – Brazil</t>
  </si>
  <si>
    <t>Nov. 16 – Brazil</t>
  </si>
  <si>
    <t xml:space="preserve">Feb. 17 - Montreal </t>
  </si>
  <si>
    <t>Aug. 15 – UAE/Saudi</t>
  </si>
  <si>
    <t>Oct. 12 – SSA</t>
  </si>
  <si>
    <t xml:space="preserve">Jul. 17 – SSA </t>
  </si>
  <si>
    <t>Sept. 14 – Brazil</t>
  </si>
  <si>
    <t>Feb. 17 - Bari</t>
  </si>
  <si>
    <t>CIC + GEO China:</t>
  </si>
  <si>
    <t>Aug. 17 – Bangalore</t>
  </si>
  <si>
    <t xml:space="preserve">Sept. 14 – SSA </t>
  </si>
  <si>
    <t>Oct. 19 – Quezon City</t>
  </si>
  <si>
    <t>Jul. 28 – SH,DL,CD</t>
  </si>
  <si>
    <t>Feb. 17 – Bangalore</t>
  </si>
  <si>
    <t>Sept. 14 - Chicago</t>
  </si>
  <si>
    <t>Oct. 19 – Bangalore</t>
  </si>
  <si>
    <t>Feb. 24 – Bangalore</t>
  </si>
  <si>
    <t>Jul. 27 – Baton Rouge</t>
  </si>
  <si>
    <t xml:space="preserve">Aug. 17 – Quezon City </t>
  </si>
  <si>
    <t>CIC CHINA:</t>
  </si>
  <si>
    <t>Sept. 21 – UK</t>
  </si>
  <si>
    <t>Oct. 19 – Dalian</t>
  </si>
  <si>
    <t>Feb. 24 - Halifax</t>
  </si>
  <si>
    <t>Aug. 17 – Brazil</t>
  </si>
  <si>
    <t>Aug. 17 – SSA</t>
  </si>
  <si>
    <t>Sept. 21 –Rocker Center</t>
  </si>
  <si>
    <t>Oct. 19 – Chicago</t>
  </si>
  <si>
    <t xml:space="preserve">Feb. 26 – Bangalore </t>
  </si>
  <si>
    <t>Aug. 17 – Chicago</t>
  </si>
  <si>
    <t>Sept. 21 – Bangalore</t>
  </si>
  <si>
    <t>Oct. 19 – Toronto</t>
  </si>
  <si>
    <t>Aug. 17 – Toronto</t>
  </si>
  <si>
    <t>Oct. 26  - Leicester</t>
  </si>
  <si>
    <t>Aug. 24 – Chicago</t>
  </si>
  <si>
    <t>Aug 31 – Bucharest</t>
  </si>
  <si>
    <t>Total # of Cohorts - Legacy - 10 Day Induction</t>
  </si>
  <si>
    <t>Total # of Cohorts - New - 10 Day Induction</t>
  </si>
  <si>
    <t>Total # of Cohorts - F2F</t>
  </si>
  <si>
    <t>Total # of Cohorts - Virtual</t>
  </si>
  <si>
    <t>Total # of Cohorts - Complete</t>
  </si>
  <si>
    <t>Total # of Cohorts - In Progress</t>
  </si>
  <si>
    <t>Total # of Cohorts - Planned</t>
  </si>
  <si>
    <t>Total # of Cohorts - Tentative</t>
  </si>
  <si>
    <t>Total # of Cohorts CIC CEE</t>
  </si>
  <si>
    <t>Total # of Cohorts CIC China</t>
  </si>
  <si>
    <t>Total # of Cohorts CIC India</t>
  </si>
  <si>
    <t>Total # of Cohorts CIC LA</t>
  </si>
  <si>
    <t>Total # of Cohorts CIC MEA</t>
  </si>
  <si>
    <t>Total # of Cohorts CIC NA</t>
  </si>
  <si>
    <t>Total # of Cohorts CIC Philippines</t>
  </si>
  <si>
    <t>Total # of Cohorts CIC Western Europe</t>
  </si>
  <si>
    <t>Total # of Cohorts Geo AP</t>
  </si>
  <si>
    <t>Total # of Cohorts Geo China</t>
  </si>
  <si>
    <t>Total # of Cohorts Geo Japan</t>
  </si>
  <si>
    <t>Total # of Cohorts Geo MEA</t>
  </si>
  <si>
    <t>Total # of Cohorts Geo NA - Canada</t>
  </si>
  <si>
    <t>Total # of Cohorts Geo NA - US</t>
  </si>
  <si>
    <t>Total # of Cohorts Geo Western Europe</t>
  </si>
  <si>
    <t>Total # of Cohorts - CICs</t>
  </si>
  <si>
    <t>Total # of Cohorts - Geos</t>
  </si>
  <si>
    <t>Total # of Cohorts</t>
  </si>
  <si>
    <t>Total # of Associates - Complete</t>
  </si>
  <si>
    <t>Total # of Associates - In Progress</t>
  </si>
  <si>
    <t>Total # of Associates - Planned</t>
  </si>
  <si>
    <t>Total # of Associates - Tentative</t>
  </si>
  <si>
    <t>Total # of Associates CIC CEE</t>
  </si>
  <si>
    <t>Total # of Associates CIC China</t>
  </si>
  <si>
    <t>Total # of Associates CIC India</t>
  </si>
  <si>
    <t>Total # of Associates CIC LA</t>
  </si>
  <si>
    <t>Total # of Associates CIC MEA</t>
  </si>
  <si>
    <t>Total # of Associates CIC NA</t>
  </si>
  <si>
    <t>Total # of Associates CIC Philippines</t>
  </si>
  <si>
    <t>Total # of Associates CIC Western Europe</t>
  </si>
  <si>
    <t>Total # of Associates Geo AP</t>
  </si>
  <si>
    <t>Total # of Associates Geo China</t>
  </si>
  <si>
    <t>Total # of Associates Geo Japan</t>
  </si>
  <si>
    <t>Total # of Associates Geo MEA</t>
  </si>
  <si>
    <t>Total # of Associates Geo NA - Canada</t>
  </si>
  <si>
    <t>Total # of Associates Geo NA - US</t>
  </si>
  <si>
    <t>Total # of Associates Geo Western Europe</t>
  </si>
  <si>
    <t>Total Associates - CICs</t>
  </si>
  <si>
    <t>Total Associates - Geos</t>
  </si>
  <si>
    <t>Total Associates</t>
  </si>
  <si>
    <t>Completion Status of Associates by Component</t>
  </si>
  <si>
    <t>Geo / CIC Status</t>
  </si>
  <si>
    <t xml:space="preserve"> CIC China</t>
  </si>
  <si>
    <t xml:space="preserve"> CIC India</t>
  </si>
  <si>
    <t xml:space="preserve"> CIC LA</t>
  </si>
  <si>
    <t xml:space="preserve"> CIC MEA</t>
  </si>
  <si>
    <t xml:space="preserve"> CIC NA</t>
  </si>
  <si>
    <t xml:space="preserve"> CIC Philippines</t>
  </si>
  <si>
    <t xml:space="preserve"> CIC Western Europe</t>
  </si>
  <si>
    <t xml:space="preserve"> Geo AP</t>
  </si>
  <si>
    <t xml:space="preserve"> Geo China</t>
  </si>
  <si>
    <t xml:space="preserve"> Geo Japan</t>
  </si>
  <si>
    <t xml:space="preserve"> Geo MEA</t>
  </si>
  <si>
    <t xml:space="preserve"> Geo NA - Canada</t>
  </si>
  <si>
    <t xml:space="preserve"> Geo NA - US</t>
  </si>
  <si>
    <t xml:space="preserve"> Geo Western Europe</t>
  </si>
  <si>
    <t>Overall Percentage</t>
  </si>
  <si>
    <t>Onboarding</t>
  </si>
  <si>
    <t>Jan</t>
  </si>
  <si>
    <t>Feb</t>
  </si>
  <si>
    <t>Mar</t>
  </si>
  <si>
    <t>Apr</t>
  </si>
  <si>
    <t>Jun</t>
  </si>
  <si>
    <t>Jul</t>
  </si>
  <si>
    <t>Nov</t>
  </si>
  <si>
    <t>Dec</t>
  </si>
  <si>
    <t>week of 12th April
Growth Survey Debrief
Stay Ahead Event Pilots</t>
  </si>
  <si>
    <t>22nd March - Induction 2.0 T3
Induction 2.0 Part 1  C&amp;C, DE and EDT</t>
  </si>
  <si>
    <t>Rollout updated content - Part 1</t>
  </si>
  <si>
    <t>Induction 2.0 Part 2 Agile, PS, Welcome to IBM and Career Journey</t>
  </si>
  <si>
    <t>Rollout updated content - Part 2</t>
  </si>
  <si>
    <t xml:space="preserve">This worksheet has been sunset, replaced by the Intern Deploymnet Planning Tracker, see the new tab </t>
  </si>
  <si>
    <t>Q1 - Projected</t>
  </si>
  <si>
    <t>Q1 Total - Projected Internship by Geo/CIC</t>
  </si>
  <si>
    <t>Q1 Total - Projected Co-op by Geo/CIC</t>
  </si>
  <si>
    <t>Q1 - Actual</t>
  </si>
  <si>
    <t>Q1 Total - Actual Internship by Geo/CIC</t>
  </si>
  <si>
    <t>Q1 Total - Actual Co-op by Geo/CIC</t>
  </si>
  <si>
    <t xml:space="preserve"> Q2 - Projected</t>
  </si>
  <si>
    <t>Q2 Total Projected - Internship by Geo/CIC</t>
  </si>
  <si>
    <t>Q2 Total Projected - Co-op by Geo/CIC</t>
  </si>
  <si>
    <t xml:space="preserve"> Q2 - Actual</t>
  </si>
  <si>
    <t>Q2 Total Actual - Internship by Geo/CIC</t>
  </si>
  <si>
    <t>Q2 Total Actual - Co-op by Geo/CIC</t>
  </si>
  <si>
    <t xml:space="preserve"> Q3 - Projected</t>
  </si>
  <si>
    <t>Q3 Total Projected - Internship by Geo/CIC</t>
  </si>
  <si>
    <t>Q3 Total Projected - Co-op by Geo/CIC</t>
  </si>
  <si>
    <t xml:space="preserve"> Q3 - Actual</t>
  </si>
  <si>
    <t>Q3 Total Actual - Internship by Geo/CIC</t>
  </si>
  <si>
    <t>Q3 Total Actual - Co-op by Geo/CIC</t>
  </si>
  <si>
    <t xml:space="preserve"> Q4 - Projected</t>
  </si>
  <si>
    <t>Q4 Total Projected - Internship by Geo/CIC</t>
  </si>
  <si>
    <t>Q4 Total Projected - Co-op by Geo/CIC</t>
  </si>
  <si>
    <t>Actual - Q4</t>
  </si>
  <si>
    <t>Q4 Total Actual - Internship by Geo/CIC</t>
  </si>
  <si>
    <t>Q4 Total Actual - Co-op by Geo/CIC</t>
  </si>
  <si>
    <t>2022 Total Projected by Category</t>
  </si>
  <si>
    <t>2022 Overall Total Projected</t>
  </si>
  <si>
    <t>Onboarding Dates &amp; #s</t>
  </si>
  <si>
    <t>Deployment Strategy</t>
  </si>
  <si>
    <t>Category</t>
  </si>
  <si>
    <t>Internship</t>
  </si>
  <si>
    <t>1/4: 12
5/2: 16
5/23: 59 
6/20: 6
7/5: 8
9/6: 15</t>
  </si>
  <si>
    <t>We do not hold Geo/mainline/CIC specific classes; only US/Canada specific</t>
  </si>
  <si>
    <t>NA CIC and Geo cohorts will comprise Internship, Co-op (Std and Ext) categories and will take the 4 day Induction</t>
  </si>
  <si>
    <t>Co-op Standard</t>
  </si>
  <si>
    <t>Co-op Extended</t>
  </si>
  <si>
    <t>See above</t>
  </si>
  <si>
    <t>CIC LA will continue with the 10 day Induction for their Co-op (Std)</t>
  </si>
  <si>
    <t>GEO MEA</t>
  </si>
  <si>
    <t>TerriAnne Novak Geo EU:  Approx 164 Total throughout the year in existing country based xLoB Programs.  No interest in an IBM Consulting specific virtual induction program.  Those who later become Associates take the full Associates' Program.</t>
  </si>
  <si>
    <t>Geo EU will take 10 day Induction</t>
  </si>
  <si>
    <t>TerriAnne Novak:  CIC Western Europe:  Approx 60 during full year, mostly "singletons"  without critical mass for virtual induction. It is possible that if a country hires a cohort of at least 10 interns at once there might be an interest in leveraging the content of the global program to be taught locally.</t>
  </si>
  <si>
    <t>CIC EU Internship, Co-op (Std and Ext) might take 4 day Induction</t>
  </si>
  <si>
    <t>As AP Associates PM Vinod Thekkepat has been requested to complete this information as this responsibility does not sit with the Learning Consultant.  For ANZ we can confirm that Q1 - 31 interns onboarded (6 were only for 6weeks but one has extended) = 26
ANZ Q2 and beyond – no firm demand but majority will be in CIC</t>
  </si>
  <si>
    <t>Feb.21:9
Feb. 23:1
Feb. 25:1
Feb. 28:2
Mar.1:2
Mar.2:5
Mar.7:2
Mar.10:1
Mar.14:12
Mar.17:2
Mar.21:6
Mar.28:2</t>
  </si>
  <si>
    <t>Note1：Intern are managed by TA  team.
Note2：onboarding date of each student depends on the project demand and students' availble time case by case. No confirmed dates for Q2-Q4.
Note 3:Currently the L&amp;K resource for Associates is fully occupied in Associates related activities and there is no capacity for Intern Induction pilot.</t>
  </si>
  <si>
    <t>Jan 4：3
Jan 6：1
Jan 10: 3
Jan 17：2
Jan 18: 1
Jan 19: 1
Jan 21: 2,
Feb 7：1
Feb 14： 9
Feb 17：1
Feb 21：10
Feb 28：2,
Mar 1：8
Mar 7：4
Mar 10：1
Mar 14：1
Mar 18：1
Mar 21: 1
Mar 28： 2
Mar31: 1</t>
  </si>
  <si>
    <t>this is for CIC and not ML</t>
  </si>
  <si>
    <t>CIC PH will continue with the 10 day Induction for their Co-op (Std)</t>
  </si>
  <si>
    <t>GEO Jap</t>
  </si>
  <si>
    <t xml:space="preserve">Japan, we have internship program delivered by HR team. 2022 planed number 230 internship </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</si>
</sst>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3409]dd\ mmmm\,\ yyyy;@"/>
    <numFmt numFmtId="165" formatCode="[$-409]d\-mmm\-yyyy;@"/>
    <numFmt numFmtId="166" formatCode="[$-409]d\-mmm\-yy;@"/>
    <numFmt numFmtId="167" formatCode="dd/mm/yyyy;@"/>
    <numFmt numFmtId="168" formatCode="[$-409]mmmm\-yy;@"/>
    <numFmt numFmtId="169" formatCode="yyyy/mm/dd;@"/>
    <numFmt numFmtId="170" formatCode="[$-409]mmmm\ d\,\ yyyy;@"/>
    <numFmt numFmtId="171" formatCode="[$-F800]dddd\,\ mmmm\ dd\,\ yyyy"/>
  </numFmts>
  <fonts count="70">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b/>
      <sz val="11"/>
      <color theme="1"/>
      <name val="Calibri"/>
      <family val="2"/>
      <scheme val="minor"/>
    </font>
    <font>
      <b/>
      <sz val="11"/>
      <color theme="8"/>
      <name val="Calibri"/>
      <family val="2"/>
      <scheme val="minor"/>
    </font>
    <font>
      <sz val="5"/>
      <color theme="1"/>
      <name val="Calibri"/>
      <family val="2"/>
      <scheme val="minor"/>
    </font>
    <font>
      <sz val="11"/>
      <color rgb="FF000000"/>
      <name val="Calibri"/>
      <family val="2"/>
      <scheme val="minor"/>
    </font>
    <font>
      <b/>
      <sz val="11"/>
      <color theme="1"/>
      <name val="Calibri"/>
      <family val="3"/>
      <charset val="128"/>
      <scheme val="minor"/>
    </font>
    <font>
      <sz val="6"/>
      <name val="Calibri"/>
      <family val="3"/>
      <charset val="128"/>
      <scheme val="minor"/>
    </font>
    <font>
      <sz val="6"/>
      <name val="ＭＳ Ｐゴシック"/>
      <family val="3"/>
      <charset val="128"/>
    </font>
    <font>
      <b/>
      <sz val="11"/>
      <color theme="8"/>
      <name val="Calibri"/>
      <family val="3"/>
      <charset val="128"/>
      <scheme val="minor"/>
    </font>
    <font>
      <sz val="11"/>
      <color rgb="FF000000"/>
      <name val="Calibri"/>
      <family val="3"/>
      <charset val="134"/>
      <scheme val="minor"/>
    </font>
    <font>
      <b/>
      <sz val="9"/>
      <color rgb="FF000000"/>
      <name val="Tahoma"/>
      <family val="2"/>
    </font>
    <font>
      <sz val="9"/>
      <color rgb="FF000000"/>
      <name val="Tahoma"/>
      <family val="2"/>
    </font>
    <font>
      <sz val="11"/>
      <color theme="0"/>
      <name val="Calibri"/>
      <family val="2"/>
      <scheme val="minor"/>
    </font>
    <font>
      <b/>
      <sz val="8"/>
      <color rgb="FF0D2DA9"/>
      <name val="IBM Plex Sans"/>
      <family val="2"/>
    </font>
    <font>
      <sz val="9"/>
      <color rgb="FFC00000"/>
      <name val="IBM Plex Sans"/>
      <family val="2"/>
    </font>
    <font>
      <b/>
      <sz val="9"/>
      <color rgb="FF00B050"/>
      <name val="IBM Plex Sans"/>
      <family val="2"/>
    </font>
    <font>
      <sz val="11"/>
      <name val="Calibri"/>
      <family val="2"/>
      <scheme val="minor"/>
    </font>
    <font>
      <sz val="10"/>
      <color rgb="FF000000"/>
      <name val="Microsoft YaHei UI"/>
      <family val="2"/>
    </font>
    <font>
      <b/>
      <sz val="10"/>
      <color rgb="FF000000"/>
      <name val="Microsoft YaHei UI"/>
      <family val="2"/>
    </font>
    <font>
      <b/>
      <sz val="11"/>
      <color rgb="FFFFFFFF"/>
      <name val="Calibri"/>
      <family val="2"/>
    </font>
    <font>
      <b/>
      <sz val="11"/>
      <color rgb="FFFFFFFF"/>
      <name val="Arial"/>
      <family val="2"/>
    </font>
    <font>
      <sz val="11"/>
      <color rgb="FFFFFFFF"/>
      <name val="Calibri"/>
      <family val="2"/>
    </font>
    <font>
      <b/>
      <sz val="9"/>
      <name val="IBM Plex Sans"/>
      <family val="2"/>
    </font>
    <font>
      <sz val="9"/>
      <name val="IBM Plex Sans"/>
      <family val="2"/>
    </font>
    <font>
      <b/>
      <sz val="11"/>
      <name val="Calibri"/>
      <family val="2"/>
      <scheme val="minor"/>
    </font>
    <font>
      <sz val="9"/>
      <name val="Calibri"/>
      <family val="3"/>
      <charset val="134"/>
      <scheme val="minor"/>
    </font>
    <font>
      <b/>
      <sz val="11"/>
      <color rgb="FFFF0000"/>
      <name val="Calibri (Body)"/>
    </font>
    <font>
      <sz val="10"/>
      <color rgb="FF000000"/>
      <name val="Calibri"/>
      <family val="3"/>
      <charset val="134"/>
      <scheme val="minor"/>
    </font>
    <font>
      <sz val="10"/>
      <color rgb="FF000000"/>
      <name val="宋体"/>
      <family val="3"/>
      <charset val="134"/>
    </font>
    <font>
      <b/>
      <sz val="10"/>
      <color rgb="FF000000"/>
      <name val="Microsoft YaHei UI"/>
      <family val="2"/>
      <charset val="1"/>
    </font>
    <font>
      <sz val="10"/>
      <color rgb="FF000000"/>
      <name val="Microsoft YaHei UI"/>
      <family val="2"/>
      <charset val="1"/>
    </font>
    <font>
      <sz val="11"/>
      <color rgb="FF1D1C1D"/>
      <name val="Calibri"/>
      <family val="2"/>
    </font>
    <font>
      <sz val="8"/>
      <name val="Calibri"/>
      <family val="2"/>
      <scheme val="minor"/>
    </font>
    <font>
      <sz val="11"/>
      <color theme="1"/>
      <name val="IBM Plex Sans"/>
      <family val="2"/>
    </font>
    <font>
      <sz val="11"/>
      <color theme="0"/>
      <name val="IBM Plex Sans"/>
      <family val="2"/>
    </font>
    <font>
      <sz val="9"/>
      <color theme="1"/>
      <name val="IBM Plex Sans"/>
      <family val="2"/>
    </font>
    <font>
      <sz val="9"/>
      <color theme="0"/>
      <name val="IBM Plex Sans"/>
      <family val="2"/>
    </font>
    <font>
      <sz val="11"/>
      <color theme="1"/>
      <name val="Calibri"/>
      <family val="2"/>
    </font>
    <font>
      <b/>
      <sz val="11"/>
      <color theme="1"/>
      <name val="Calibri"/>
      <family val="2"/>
    </font>
    <font>
      <sz val="11"/>
      <color theme="0"/>
      <name val="Calibri"/>
      <family val="2"/>
    </font>
    <font>
      <sz val="11"/>
      <color rgb="FF1D1C1D"/>
      <name val="Calibri"/>
      <family val="2"/>
      <scheme val="minor"/>
    </font>
    <font>
      <sz val="11"/>
      <color rgb="FF1D1C1D"/>
      <name val="Slack-Lato"/>
      <charset val="1"/>
    </font>
    <font>
      <b/>
      <sz val="10"/>
      <color rgb="FF000000"/>
      <name val="Yu Gothic UI"/>
      <family val="2"/>
    </font>
    <font>
      <b/>
      <sz val="11"/>
      <color rgb="FFFF0000"/>
      <name val="Calibri"/>
      <family val="2"/>
      <scheme val="minor"/>
    </font>
    <font>
      <sz val="11"/>
      <color rgb="FF000000"/>
      <name val="宋体"/>
      <family val="3"/>
      <charset val="134"/>
    </font>
    <font>
      <sz val="11"/>
      <color rgb="FF000000"/>
      <name val="Calibri"/>
      <family val="2"/>
    </font>
    <font>
      <sz val="11"/>
      <color rgb="FF1D1C1D"/>
      <name val="Arial"/>
      <family val="2"/>
    </font>
    <font>
      <sz val="16"/>
      <color rgb="FF000000"/>
      <name val="Calibri"/>
      <family val="2"/>
      <scheme val="minor"/>
    </font>
    <font>
      <sz val="8"/>
      <color theme="1"/>
      <name val="Calibri"/>
      <family val="2"/>
      <scheme val="minor"/>
    </font>
    <font>
      <sz val="8"/>
      <color rgb="FF000000"/>
      <name val="Calibri"/>
      <family val="2"/>
      <scheme val="minor"/>
    </font>
    <font>
      <b/>
      <sz val="8"/>
      <color theme="1"/>
      <name val="Calibri"/>
      <family val="2"/>
      <scheme val="minor"/>
    </font>
    <font>
      <sz val="15"/>
      <color rgb="FF1D1C1D"/>
      <name val="Arial"/>
      <family val="2"/>
    </font>
    <font>
      <b/>
      <sz val="11"/>
      <color theme="1"/>
      <name val="IBM Plex Sans"/>
      <family val="2"/>
    </font>
    <font>
      <b/>
      <sz val="9"/>
      <color theme="1"/>
      <name val="IBM Plex Sans"/>
      <family val="2"/>
    </font>
    <font>
      <b/>
      <sz val="12"/>
      <color theme="2"/>
      <name val="IBM Plex Sans"/>
      <family val="2"/>
    </font>
    <font>
      <sz val="7"/>
      <color theme="1"/>
      <name val="IBM Plex Sans"/>
      <family val="2"/>
    </font>
    <font>
      <b/>
      <sz val="9"/>
      <color theme="2"/>
      <name val="IBM Plex Sans"/>
      <family val="2"/>
    </font>
    <font>
      <b/>
      <sz val="14"/>
      <color theme="1"/>
      <name val="IBM Plex Sans"/>
      <family val="2"/>
    </font>
    <font>
      <b/>
      <sz val="16"/>
      <color theme="1"/>
      <name val="IBM Plex Sans"/>
      <family val="2"/>
    </font>
    <font>
      <b/>
      <u/>
      <sz val="11"/>
      <color theme="1"/>
      <name val="IBM Plex Sans"/>
      <family val="2"/>
    </font>
    <font>
      <b/>
      <sz val="26"/>
      <color rgb="FFFF0000"/>
      <name val="Calibri"/>
      <family val="2"/>
      <scheme val="minor"/>
    </font>
    <font>
      <sz val="10"/>
      <color rgb="FF000000"/>
      <name val="Arial"/>
      <family val="2"/>
    </font>
    <font>
      <sz val="10"/>
      <color theme="1"/>
      <name val="Calibri"/>
      <family val="2"/>
      <scheme val="minor"/>
    </font>
    <font>
      <sz val="10"/>
      <name val="Calibri"/>
      <family val="2"/>
      <scheme val="minor"/>
    </font>
    <font>
      <sz val="11.5"/>
      <color theme="1"/>
      <name val="Arial"/>
      <family val="2"/>
    </font>
    <font>
      <sz val="8"/>
      <color rgb="FF1D1C1D"/>
      <name val="Arial"/>
      <family val="2"/>
    </font>
  </fonts>
  <fills count="45">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8"/>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theme="2"/>
        <bgColor indexed="64"/>
      </patternFill>
    </fill>
    <fill>
      <patternFill patternType="solid">
        <fgColor theme="5"/>
        <bgColor indexed="64"/>
      </patternFill>
    </fill>
    <fill>
      <patternFill patternType="solid">
        <fgColor theme="3"/>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B4C6E7"/>
        <bgColor indexed="64"/>
      </patternFill>
    </fill>
    <fill>
      <patternFill patternType="solid">
        <fgColor theme="0"/>
        <bgColor rgb="FF000000"/>
      </patternFill>
    </fill>
    <fill>
      <patternFill patternType="solid">
        <fgColor rgb="FFFFFF00"/>
        <bgColor indexed="64"/>
      </patternFill>
    </fill>
    <fill>
      <patternFill patternType="solid">
        <fgColor rgb="FFD6DEFC"/>
        <bgColor indexed="64"/>
      </patternFill>
    </fill>
    <fill>
      <patternFill patternType="solid">
        <fgColor rgb="FF002060"/>
        <bgColor indexed="64"/>
      </patternFill>
    </fill>
    <fill>
      <patternFill patternType="solid">
        <fgColor theme="2" tint="-0.249977111117893"/>
        <bgColor indexed="64"/>
      </patternFill>
    </fill>
    <fill>
      <patternFill patternType="solid">
        <fgColor theme="1"/>
        <bgColor indexed="64"/>
      </patternFill>
    </fill>
    <fill>
      <patternFill patternType="solid">
        <fgColor rgb="FF6EA6FF"/>
        <bgColor indexed="64"/>
      </patternFill>
    </fill>
    <fill>
      <patternFill patternType="solid">
        <fgColor rgb="FF0530AD"/>
        <bgColor indexed="64"/>
      </patternFill>
    </fill>
    <fill>
      <patternFill patternType="solid">
        <fgColor rgb="FF0062FF"/>
        <bgColor indexed="64"/>
      </patternFill>
    </fill>
    <fill>
      <patternFill patternType="solid">
        <fgColor rgb="FFFF99FF"/>
        <bgColor indexed="64"/>
      </patternFill>
    </fill>
    <fill>
      <patternFill patternType="solid">
        <fgColor rgb="FFFF00FF"/>
        <bgColor indexed="64"/>
      </patternFill>
    </fill>
    <fill>
      <patternFill patternType="solid">
        <fgColor theme="9" tint="0.79998168889431442"/>
        <bgColor indexed="64"/>
      </patternFill>
    </fill>
    <fill>
      <patternFill patternType="solid">
        <fgColor theme="7"/>
        <bgColor indexed="64"/>
      </patternFill>
    </fill>
    <fill>
      <patternFill patternType="solid">
        <fgColor theme="4" tint="0.59999389629810485"/>
        <bgColor rgb="FF000000"/>
      </patternFill>
    </fill>
    <fill>
      <patternFill patternType="solid">
        <fgColor rgb="FF0066FF"/>
        <bgColor indexed="64"/>
      </patternFill>
    </fill>
    <fill>
      <patternFill patternType="solid">
        <fgColor rgb="FF000099"/>
        <bgColor indexed="64"/>
      </patternFill>
    </fill>
    <fill>
      <patternFill patternType="solid">
        <fgColor rgb="FF0099FF"/>
        <bgColor indexed="64"/>
      </patternFill>
    </fill>
    <fill>
      <patternFill patternType="solid">
        <fgColor rgb="FF99CCFF"/>
        <bgColor indexed="64"/>
      </patternFill>
    </fill>
    <fill>
      <patternFill patternType="solid">
        <fgColor theme="0" tint="-0.499984740745262"/>
        <bgColor indexed="64"/>
      </patternFill>
    </fill>
    <fill>
      <patternFill patternType="solid">
        <fgColor rgb="FF7030A0"/>
        <bgColor indexed="64"/>
      </patternFill>
    </fill>
    <fill>
      <patternFill patternType="solid">
        <fgColor theme="2" tint="-9.9978637043366805E-2"/>
        <bgColor indexed="64"/>
      </patternFill>
    </fill>
    <fill>
      <patternFill patternType="solid">
        <fgColor rgb="FFFFFFFF"/>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2CC"/>
        <bgColor rgb="FF000000"/>
      </patternFill>
    </fill>
    <fill>
      <patternFill patternType="solid">
        <fgColor rgb="FFE2EFDA"/>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style="thin">
        <color theme="4" tint="-0.249977111117893"/>
      </bottom>
      <diagonal/>
    </border>
    <border>
      <left/>
      <right/>
      <top/>
      <bottom style="thin">
        <color theme="4" tint="-0.249977111117893"/>
      </bottom>
      <diagonal/>
    </border>
    <border>
      <left/>
      <right style="thin">
        <color theme="4" tint="-0.249977111117893"/>
      </right>
      <top/>
      <bottom style="thin">
        <color theme="4" tint="-0.249977111117893"/>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style="medium">
        <color rgb="FFFFFFFF"/>
      </right>
      <top style="medium">
        <color rgb="FFFFFFFF"/>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theme="0" tint="-4.9989318521683403E-2"/>
      </left>
      <right/>
      <top/>
      <bottom/>
      <diagonal/>
    </border>
    <border>
      <left/>
      <right style="medium">
        <color rgb="FFFFFFFF"/>
      </right>
      <top/>
      <bottom/>
      <diagonal/>
    </border>
    <border>
      <left style="medium">
        <color rgb="FFFFFFFF"/>
      </left>
      <right style="medium">
        <color rgb="FFFFFFFF"/>
      </right>
      <top style="medium">
        <color rgb="FFFFFFFF"/>
      </top>
      <bottom style="medium">
        <color rgb="FFFFFFFF"/>
      </bottom>
      <diagonal/>
    </border>
    <border>
      <left/>
      <right style="medium">
        <color rgb="FFFFFFFF"/>
      </right>
      <top/>
      <bottom style="medium">
        <color rgb="FFFFFFFF"/>
      </bottom>
      <diagonal/>
    </border>
    <border>
      <left/>
      <right style="medium">
        <color rgb="FFFFFFFF"/>
      </right>
      <top style="medium">
        <color rgb="FFFFFFFF"/>
      </top>
      <bottom style="medium">
        <color rgb="FFFFFFFF"/>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rgb="FFFFFFFF"/>
      </left>
      <right/>
      <top style="medium">
        <color theme="0" tint="-4.9989318521683403E-2"/>
      </top>
      <bottom style="medium">
        <color rgb="FFFFFFFF"/>
      </bottom>
      <diagonal/>
    </border>
    <border>
      <left/>
      <right/>
      <top style="medium">
        <color theme="0" tint="-4.9989318521683403E-2"/>
      </top>
      <bottom style="medium">
        <color rgb="FFFFFFFF"/>
      </bottom>
      <diagonal/>
    </border>
    <border>
      <left/>
      <right style="medium">
        <color theme="0" tint="-4.9989318521683403E-2"/>
      </right>
      <top style="medium">
        <color theme="0" tint="-4.9989318521683403E-2"/>
      </top>
      <bottom style="medium">
        <color rgb="FFFFFFFF"/>
      </bottom>
      <diagonal/>
    </border>
    <border>
      <left/>
      <right style="medium">
        <color rgb="FFFFFFFF"/>
      </right>
      <top style="medium">
        <color theme="0" tint="-4.9989318521683403E-2"/>
      </top>
      <bottom style="medium">
        <color rgb="FFFFFFFF"/>
      </bottom>
      <diagonal/>
    </border>
    <border>
      <left style="thin">
        <color indexed="64"/>
      </left>
      <right/>
      <top style="medium">
        <color theme="0" tint="-4.9989318521683403E-2"/>
      </top>
      <bottom style="medium">
        <color theme="0" tint="-4.9989318521683403E-2"/>
      </bottom>
      <diagonal/>
    </border>
    <border>
      <left/>
      <right style="thin">
        <color indexed="64"/>
      </right>
      <top style="medium">
        <color rgb="FFFFFFFF"/>
      </top>
      <bottom style="medium">
        <color rgb="FFFFFFFF"/>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medium">
        <color rgb="FFD4D4D4"/>
      </left>
      <right style="medium">
        <color rgb="FFD4D4D4"/>
      </right>
      <top style="medium">
        <color rgb="FFD4D4D4"/>
      </top>
      <bottom style="medium">
        <color rgb="FFD4D4D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right style="thin">
        <color rgb="FF000000"/>
      </right>
      <top/>
      <bottom style="thin">
        <color rgb="FF000000"/>
      </bottom>
      <diagonal/>
    </border>
    <border>
      <left style="thin">
        <color indexed="64"/>
      </left>
      <right style="medium">
        <color rgb="FFD4D4D4"/>
      </right>
      <top style="medium">
        <color rgb="FFD4D4D4"/>
      </top>
      <bottom style="medium">
        <color rgb="FFD4D4D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xf numFmtId="0" fontId="3" fillId="0" borderId="0"/>
  </cellStyleXfs>
  <cellXfs count="594">
    <xf numFmtId="0" fontId="0" fillId="0" borderId="0" xfId="0"/>
    <xf numFmtId="0" fontId="0" fillId="0" borderId="1" xfId="0" applyBorder="1"/>
    <xf numFmtId="0" fontId="5" fillId="0" borderId="1" xfId="0" applyFont="1" applyBorder="1"/>
    <xf numFmtId="0" fontId="0" fillId="2" borderId="1" xfId="0" applyFill="1" applyBorder="1"/>
    <xf numFmtId="0" fontId="7" fillId="5" borderId="1" xfId="0" applyFont="1" applyFill="1" applyBorder="1"/>
    <xf numFmtId="1" fontId="5" fillId="0" borderId="1" xfId="0" applyNumberFormat="1" applyFont="1" applyBorder="1"/>
    <xf numFmtId="1" fontId="0" fillId="0" borderId="1" xfId="0" applyNumberFormat="1" applyBorder="1"/>
    <xf numFmtId="0" fontId="0" fillId="2" borderId="1" xfId="0" applyFill="1" applyBorder="1" applyAlignment="1">
      <alignment horizontal="right" vertical="center" wrapText="1"/>
    </xf>
    <xf numFmtId="1" fontId="0" fillId="2" borderId="1" xfId="0" applyNumberFormat="1" applyFill="1" applyBorder="1"/>
    <xf numFmtId="1" fontId="0" fillId="7" borderId="1" xfId="0" applyNumberFormat="1" applyFill="1" applyBorder="1"/>
    <xf numFmtId="0" fontId="0" fillId="7" borderId="1" xfId="0" applyFill="1" applyBorder="1"/>
    <xf numFmtId="0" fontId="0" fillId="9" borderId="1" xfId="0" applyFill="1" applyBorder="1"/>
    <xf numFmtId="0" fontId="0" fillId="0" borderId="1" xfId="0" applyBorder="1" applyAlignment="1">
      <alignment horizontal="center" vertical="center" wrapText="1"/>
    </xf>
    <xf numFmtId="0" fontId="5" fillId="6" borderId="1" xfId="0" applyFont="1" applyFill="1" applyBorder="1" applyAlignment="1">
      <alignment horizontal="center" wrapText="1"/>
    </xf>
    <xf numFmtId="0" fontId="0" fillId="0" borderId="0" xfId="0" applyAlignment="1">
      <alignment wrapText="1"/>
    </xf>
    <xf numFmtId="0" fontId="5" fillId="10" borderId="1" xfId="0" applyFont="1" applyFill="1" applyBorder="1" applyAlignment="1">
      <alignment horizontal="center" wrapText="1"/>
    </xf>
    <xf numFmtId="0" fontId="5" fillId="11" borderId="1" xfId="0" applyFont="1" applyFill="1" applyBorder="1" applyAlignment="1">
      <alignment horizontal="center" wrapText="1"/>
    </xf>
    <xf numFmtId="0" fontId="4" fillId="12" borderId="1" xfId="0" applyFont="1" applyFill="1" applyBorder="1" applyAlignment="1">
      <alignment horizontal="center" wrapText="1"/>
    </xf>
    <xf numFmtId="0" fontId="4" fillId="12" borderId="1" xfId="0" applyFont="1" applyFill="1" applyBorder="1" applyAlignment="1">
      <alignment wrapText="1"/>
    </xf>
    <xf numFmtId="0" fontId="0" fillId="0" borderId="0" xfId="0" quotePrefix="1"/>
    <xf numFmtId="0" fontId="0" fillId="9" borderId="1" xfId="0" applyFill="1" applyBorder="1" applyAlignment="1">
      <alignment horizontal="right" vertical="center" wrapText="1"/>
    </xf>
    <xf numFmtId="0" fontId="0" fillId="7" borderId="1" xfId="0" applyFill="1" applyBorder="1" applyAlignment="1">
      <alignment horizontal="right" vertical="center" wrapText="1"/>
    </xf>
    <xf numFmtId="0" fontId="0" fillId="17"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2" borderId="0" xfId="0" quotePrefix="1" applyFill="1"/>
    <xf numFmtId="1" fontId="0" fillId="9" borderId="1" xfId="0" applyNumberFormat="1" applyFill="1" applyBorder="1"/>
    <xf numFmtId="0" fontId="0" fillId="0" borderId="0" xfId="0" applyAlignment="1">
      <alignment horizontal="center" vertical="center"/>
    </xf>
    <xf numFmtId="0" fontId="0" fillId="0" borderId="0" xfId="0" applyAlignment="1">
      <alignment horizontal="left" vertical="center"/>
    </xf>
    <xf numFmtId="0" fontId="5" fillId="10" borderId="0" xfId="0" applyFont="1" applyFill="1" applyAlignment="1">
      <alignment horizontal="left" vertical="center"/>
    </xf>
    <xf numFmtId="0" fontId="5" fillId="10" borderId="0" xfId="0" applyFont="1" applyFill="1" applyAlignment="1">
      <alignment horizontal="center" vertical="center"/>
    </xf>
    <xf numFmtId="0" fontId="19" fillId="10" borderId="0" xfId="0" applyFont="1" applyFill="1" applyAlignment="1">
      <alignment horizontal="center" vertical="center" wrapText="1" readingOrder="1"/>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horizontal="center" vertical="center" wrapText="1"/>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horizontal="left" vertical="center"/>
    </xf>
    <xf numFmtId="0" fontId="0" fillId="23" borderId="0" xfId="0" applyFill="1" applyAlignment="1">
      <alignment horizontal="center" vertical="center"/>
    </xf>
    <xf numFmtId="0" fontId="5" fillId="23" borderId="0" xfId="0" applyFont="1" applyFill="1" applyAlignment="1">
      <alignment horizontal="center" vertical="center"/>
    </xf>
    <xf numFmtId="0" fontId="5" fillId="20" borderId="0" xfId="0" applyFont="1" applyFill="1" applyAlignment="1">
      <alignment horizontal="left" vertical="center"/>
    </xf>
    <xf numFmtId="0" fontId="5" fillId="20" borderId="0" xfId="0" applyFont="1" applyFill="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0" fillId="17" borderId="1" xfId="0" applyFill="1" applyBorder="1" applyAlignment="1">
      <alignment horizontal="center" vertical="center"/>
    </xf>
    <xf numFmtId="0" fontId="5" fillId="17" borderId="1" xfId="0" applyFont="1" applyFill="1" applyBorder="1" applyAlignment="1">
      <alignment horizontal="center" vertical="center"/>
    </xf>
    <xf numFmtId="0" fontId="0" fillId="24" borderId="1" xfId="0" applyFill="1" applyBorder="1" applyAlignment="1">
      <alignment horizontal="center" vertical="center"/>
    </xf>
    <xf numFmtId="0" fontId="5" fillId="24" borderId="1" xfId="0" applyFont="1" applyFill="1" applyBorder="1" applyAlignment="1">
      <alignment horizontal="center" vertical="center"/>
    </xf>
    <xf numFmtId="0" fontId="0" fillId="24" borderId="0" xfId="0" applyFill="1" applyAlignment="1">
      <alignment horizontal="center" vertical="center"/>
    </xf>
    <xf numFmtId="0" fontId="5" fillId="24" borderId="0" xfId="0" applyFont="1" applyFill="1" applyAlignment="1">
      <alignment horizontal="center" vertical="center"/>
    </xf>
    <xf numFmtId="0" fontId="20" fillId="24" borderId="1" xfId="0" applyFont="1" applyFill="1" applyBorder="1" applyAlignment="1">
      <alignment horizontal="center" vertical="center"/>
    </xf>
    <xf numFmtId="0" fontId="17" fillId="21" borderId="2" xfId="0" applyFont="1" applyFill="1" applyBorder="1" applyAlignment="1">
      <alignment horizontal="center" vertical="center" wrapText="1" readingOrder="1"/>
    </xf>
    <xf numFmtId="0" fontId="0" fillId="10" borderId="9" xfId="0" applyFill="1" applyBorder="1" applyAlignment="1">
      <alignment horizontal="center" vertical="center" wrapText="1"/>
    </xf>
    <xf numFmtId="0" fontId="0" fillId="10" borderId="9" xfId="0" applyFill="1" applyBorder="1" applyAlignment="1">
      <alignment horizontal="center" vertical="center"/>
    </xf>
    <xf numFmtId="0" fontId="0" fillId="0" borderId="0" xfId="0" quotePrefix="1" applyAlignment="1">
      <alignment horizontal="center" vertical="center"/>
    </xf>
    <xf numFmtId="0" fontId="18" fillId="2" borderId="0" xfId="0" applyFont="1" applyFill="1" applyAlignment="1">
      <alignment horizontal="center" vertical="center" wrapText="1" readingOrder="1"/>
    </xf>
    <xf numFmtId="0" fontId="0" fillId="0" borderId="17" xfId="0" applyBorder="1"/>
    <xf numFmtId="0" fontId="25" fillId="26" borderId="19" xfId="0" applyFont="1" applyFill="1" applyBorder="1" applyAlignment="1">
      <alignment horizontal="center" vertical="center" wrapText="1" readingOrder="1"/>
    </xf>
    <xf numFmtId="0" fontId="25" fillId="27" borderId="19" xfId="0" applyFont="1" applyFill="1" applyBorder="1" applyAlignment="1">
      <alignment horizontal="center" vertical="center" wrapText="1" readingOrder="1"/>
    </xf>
    <xf numFmtId="0" fontId="25" fillId="26" borderId="13" xfId="0" applyFont="1" applyFill="1" applyBorder="1" applyAlignment="1">
      <alignment horizontal="center" vertical="center" wrapText="1" readingOrder="1"/>
    </xf>
    <xf numFmtId="0" fontId="25" fillId="27" borderId="13" xfId="0" applyFont="1" applyFill="1" applyBorder="1" applyAlignment="1">
      <alignment horizontal="center" vertical="center" wrapText="1" readingOrder="1"/>
    </xf>
    <xf numFmtId="0" fontId="25" fillId="25" borderId="13" xfId="0" applyFont="1" applyFill="1" applyBorder="1" applyAlignment="1">
      <alignment horizontal="center" vertical="center" wrapText="1" readingOrder="1"/>
    </xf>
    <xf numFmtId="0" fontId="20" fillId="0" borderId="2" xfId="0" applyFont="1" applyBorder="1" applyAlignment="1">
      <alignment horizontal="center" vertical="center"/>
    </xf>
    <xf numFmtId="0" fontId="20" fillId="0" borderId="0" xfId="0" applyFont="1" applyAlignment="1">
      <alignment horizontal="center" vertical="center"/>
    </xf>
    <xf numFmtId="0" fontId="27" fillId="0" borderId="2" xfId="0" applyFont="1" applyBorder="1" applyAlignment="1">
      <alignment horizontal="center" vertical="center" wrapText="1" readingOrder="1"/>
    </xf>
    <xf numFmtId="0" fontId="20" fillId="0" borderId="2" xfId="0" quotePrefix="1" applyFont="1" applyBorder="1" applyAlignment="1">
      <alignment horizontal="center" vertical="center"/>
    </xf>
    <xf numFmtId="9" fontId="20" fillId="0" borderId="2" xfId="0" quotePrefix="1" applyNumberFormat="1" applyFont="1" applyBorder="1" applyAlignment="1">
      <alignment horizontal="center" vertical="center"/>
    </xf>
    <xf numFmtId="0" fontId="20" fillId="2" borderId="2" xfId="0" applyFont="1" applyFill="1" applyBorder="1" applyAlignment="1">
      <alignment horizontal="center" vertical="center"/>
    </xf>
    <xf numFmtId="9" fontId="20" fillId="0" borderId="2" xfId="0" applyNumberFormat="1" applyFont="1" applyBorder="1" applyAlignment="1">
      <alignment horizontal="center" vertical="center"/>
    </xf>
    <xf numFmtId="10" fontId="20" fillId="0" borderId="2" xfId="0" applyNumberFormat="1" applyFont="1" applyBorder="1" applyAlignment="1">
      <alignment horizontal="center" vertical="center"/>
    </xf>
    <xf numFmtId="0" fontId="26" fillId="0" borderId="0" xfId="0" applyFont="1" applyAlignment="1">
      <alignment horizontal="center" vertical="center" wrapText="1" readingOrder="1"/>
    </xf>
    <xf numFmtId="0" fontId="27" fillId="0" borderId="0" xfId="0" applyFont="1" applyAlignment="1">
      <alignment horizontal="center" vertical="center" wrapText="1" readingOrder="1"/>
    </xf>
    <xf numFmtId="0" fontId="20" fillId="0" borderId="0" xfId="0" quotePrefix="1" applyFont="1" applyAlignment="1">
      <alignment horizontal="center" vertical="center"/>
    </xf>
    <xf numFmtId="0" fontId="20" fillId="2" borderId="0" xfId="0" applyFont="1" applyFill="1" applyAlignment="1">
      <alignment horizontal="center" vertical="center"/>
    </xf>
    <xf numFmtId="0" fontId="28" fillId="2" borderId="0" xfId="0" applyFont="1" applyFill="1" applyAlignment="1">
      <alignment horizontal="center" vertical="center"/>
    </xf>
    <xf numFmtId="0" fontId="27" fillId="2" borderId="2" xfId="0" applyFont="1" applyFill="1" applyBorder="1" applyAlignment="1">
      <alignment horizontal="center" vertical="center" wrapText="1" readingOrder="1"/>
    </xf>
    <xf numFmtId="0" fontId="25" fillId="25" borderId="0" xfId="0" applyFont="1" applyFill="1" applyAlignment="1">
      <alignment horizontal="center" vertical="center" wrapText="1" readingOrder="1"/>
    </xf>
    <xf numFmtId="0" fontId="27" fillId="2" borderId="0" xfId="0" applyFont="1" applyFill="1" applyAlignment="1">
      <alignment horizontal="center" vertical="center" wrapText="1" readingOrder="1"/>
    </xf>
    <xf numFmtId="0" fontId="20" fillId="2" borderId="0" xfId="0" quotePrefix="1" applyFont="1" applyFill="1" applyAlignment="1">
      <alignment horizontal="center" vertical="center"/>
    </xf>
    <xf numFmtId="0" fontId="0" fillId="20" borderId="1" xfId="0" applyFill="1" applyBorder="1" applyAlignment="1">
      <alignment horizontal="center" vertical="center" wrapText="1"/>
    </xf>
    <xf numFmtId="0" fontId="0" fillId="2" borderId="1" xfId="0" applyFill="1" applyBorder="1" applyAlignment="1">
      <alignment horizontal="center" wrapText="1"/>
    </xf>
    <xf numFmtId="0" fontId="37" fillId="5" borderId="36" xfId="0" applyFont="1" applyFill="1" applyBorder="1" applyAlignment="1">
      <alignment horizontal="center" vertical="center" wrapText="1"/>
    </xf>
    <xf numFmtId="0" fontId="37" fillId="36" borderId="36" xfId="0" applyFont="1" applyFill="1" applyBorder="1" applyAlignment="1">
      <alignment horizontal="center" vertical="center" wrapText="1"/>
    </xf>
    <xf numFmtId="0" fontId="38" fillId="35" borderId="36" xfId="0" applyFont="1" applyFill="1" applyBorder="1" applyAlignment="1">
      <alignment horizontal="center" vertical="center" wrapText="1"/>
    </xf>
    <xf numFmtId="0" fontId="38" fillId="33" borderId="36" xfId="0" applyFont="1" applyFill="1" applyBorder="1" applyAlignment="1">
      <alignment horizontal="center" vertical="center" wrapText="1"/>
    </xf>
    <xf numFmtId="0" fontId="38" fillId="34" borderId="36" xfId="0" applyFont="1" applyFill="1" applyBorder="1" applyAlignment="1">
      <alignment horizontal="center" vertical="center" wrapText="1"/>
    </xf>
    <xf numFmtId="0" fontId="37" fillId="0" borderId="0" xfId="0" applyFont="1" applyAlignment="1">
      <alignment horizontal="center" vertical="center" wrapText="1"/>
    </xf>
    <xf numFmtId="0" fontId="37" fillId="3" borderId="36" xfId="0" applyFont="1" applyFill="1" applyBorder="1" applyAlignment="1">
      <alignment horizontal="center" vertical="center" wrapText="1"/>
    </xf>
    <xf numFmtId="0" fontId="38" fillId="37" borderId="36" xfId="0" applyFont="1" applyFill="1" applyBorder="1" applyAlignment="1">
      <alignment horizontal="center" vertical="center" wrapText="1"/>
    </xf>
    <xf numFmtId="0" fontId="39" fillId="36" borderId="36" xfId="0" applyFont="1" applyFill="1" applyBorder="1" applyAlignment="1">
      <alignment horizontal="left" vertical="center" wrapText="1"/>
    </xf>
    <xf numFmtId="0" fontId="40" fillId="35" borderId="36" xfId="0" applyFont="1" applyFill="1" applyBorder="1" applyAlignment="1">
      <alignment horizontal="left" vertical="center" wrapText="1"/>
    </xf>
    <xf numFmtId="0" fontId="40" fillId="33" borderId="36" xfId="0" applyFont="1" applyFill="1" applyBorder="1" applyAlignment="1">
      <alignment horizontal="left" vertical="center" wrapText="1"/>
    </xf>
    <xf numFmtId="0" fontId="40" fillId="34" borderId="36" xfId="0" applyFont="1" applyFill="1" applyBorder="1" applyAlignment="1">
      <alignment horizontal="left" vertical="center" wrapText="1"/>
    </xf>
    <xf numFmtId="0" fontId="0" fillId="0" borderId="1" xfId="0" applyBorder="1" applyAlignment="1">
      <alignment horizontal="center" vertical="top" wrapText="1"/>
    </xf>
    <xf numFmtId="166" fontId="0" fillId="1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5" fillId="0" borderId="1" xfId="0" applyFont="1" applyBorder="1" applyAlignment="1">
      <alignment horizontal="center" vertical="center" wrapText="1"/>
    </xf>
    <xf numFmtId="0" fontId="49" fillId="20" borderId="1" xfId="0" applyFont="1" applyFill="1" applyBorder="1" applyAlignment="1">
      <alignment wrapText="1"/>
    </xf>
    <xf numFmtId="0" fontId="49" fillId="0" borderId="1" xfId="0" applyFont="1" applyBorder="1" applyAlignment="1">
      <alignment wrapText="1"/>
    </xf>
    <xf numFmtId="0" fontId="0" fillId="0" borderId="1" xfId="0" applyBorder="1" applyAlignment="1">
      <alignment horizontal="left" vertical="center" wrapText="1"/>
    </xf>
    <xf numFmtId="0" fontId="48" fillId="20"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5" fillId="0" borderId="0" xfId="0" applyFont="1" applyAlignment="1">
      <alignment horizontal="center" wrapText="1"/>
    </xf>
    <xf numFmtId="166" fontId="5" fillId="0" borderId="0" xfId="0" applyNumberFormat="1" applyFont="1" applyAlignment="1">
      <alignment horizontal="center" wrapText="1"/>
    </xf>
    <xf numFmtId="0" fontId="0" fillId="0" borderId="0" xfId="0" applyAlignment="1">
      <alignment horizontal="center" wrapText="1"/>
    </xf>
    <xf numFmtId="0" fontId="52" fillId="0" borderId="0" xfId="0" applyFont="1" applyAlignment="1">
      <alignment wrapText="1"/>
    </xf>
    <xf numFmtId="166" fontId="0" fillId="0" borderId="0" xfId="0" applyNumberFormat="1" applyAlignment="1">
      <alignment horizontal="center" wrapText="1"/>
    </xf>
    <xf numFmtId="165" fontId="0" fillId="0" borderId="0" xfId="0" applyNumberFormat="1" applyAlignment="1">
      <alignment horizontal="center" vertical="center" wrapText="1"/>
    </xf>
    <xf numFmtId="16" fontId="0" fillId="0" borderId="0" xfId="0" applyNumberFormat="1" applyAlignment="1">
      <alignment horizontal="center" wrapText="1"/>
    </xf>
    <xf numFmtId="167" fontId="0" fillId="0" borderId="0" xfId="0" applyNumberFormat="1" applyAlignment="1">
      <alignment horizontal="center" wrapText="1"/>
    </xf>
    <xf numFmtId="168" fontId="0" fillId="0" borderId="0" xfId="0" applyNumberFormat="1" applyAlignment="1">
      <alignment horizontal="center" wrapText="1"/>
    </xf>
    <xf numFmtId="14" fontId="0" fillId="0" borderId="0" xfId="0" applyNumberFormat="1" applyAlignment="1">
      <alignment horizontal="center" vertical="center"/>
    </xf>
    <xf numFmtId="169" fontId="0" fillId="0" borderId="0" xfId="0" applyNumberFormat="1" applyAlignment="1">
      <alignment horizontal="center" wrapText="1"/>
    </xf>
    <xf numFmtId="0" fontId="52" fillId="8" borderId="0" xfId="0" applyFont="1" applyFill="1" applyAlignment="1">
      <alignment horizontal="left" vertical="center" wrapText="1"/>
    </xf>
    <xf numFmtId="0" fontId="52" fillId="7" borderId="0" xfId="0" applyFont="1" applyFill="1" applyAlignment="1">
      <alignment horizontal="left" vertical="center" wrapText="1"/>
    </xf>
    <xf numFmtId="0" fontId="52" fillId="0" borderId="0" xfId="0" applyFont="1" applyAlignment="1">
      <alignment horizontal="left" vertical="center" wrapText="1"/>
    </xf>
    <xf numFmtId="0" fontId="52" fillId="0" borderId="0" xfId="0" applyFont="1" applyAlignment="1">
      <alignment horizontal="left" vertical="center"/>
    </xf>
    <xf numFmtId="0" fontId="53" fillId="14" borderId="42" xfId="0" applyFont="1" applyFill="1" applyBorder="1" applyAlignment="1">
      <alignment horizontal="left" vertical="center" wrapText="1"/>
    </xf>
    <xf numFmtId="0" fontId="54" fillId="0" borderId="0" xfId="0" applyFont="1" applyAlignment="1">
      <alignment horizontal="center" wrapText="1"/>
    </xf>
    <xf numFmtId="0" fontId="52" fillId="2" borderId="0" xfId="0" applyFont="1" applyFill="1" applyAlignment="1">
      <alignment horizontal="left" vertical="center"/>
    </xf>
    <xf numFmtId="0" fontId="52" fillId="40" borderId="0" xfId="0" applyFont="1" applyFill="1" applyAlignment="1">
      <alignment horizontal="left" vertical="center"/>
    </xf>
    <xf numFmtId="0" fontId="49" fillId="0" borderId="12" xfId="0" applyFont="1" applyBorder="1" applyAlignment="1">
      <alignment wrapText="1"/>
    </xf>
    <xf numFmtId="15" fontId="0" fillId="13" borderId="1" xfId="0" applyNumberFormat="1" applyFill="1" applyBorder="1" applyAlignment="1">
      <alignment horizontal="center" vertical="center" wrapText="1"/>
    </xf>
    <xf numFmtId="15"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8" borderId="1" xfId="0" applyFill="1" applyBorder="1" applyAlignment="1">
      <alignment horizontal="center" vertical="center" wrapText="1"/>
    </xf>
    <xf numFmtId="0" fontId="41" fillId="28" borderId="1" xfId="0" applyFont="1" applyFill="1" applyBorder="1" applyAlignment="1">
      <alignment horizontal="center" vertical="center" wrapText="1"/>
    </xf>
    <xf numFmtId="0" fontId="41" fillId="14"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164" fontId="41" fillId="2" borderId="1" xfId="0" applyNumberFormat="1" applyFont="1" applyFill="1" applyBorder="1" applyAlignment="1">
      <alignment horizontal="center" vertical="center" wrapText="1"/>
    </xf>
    <xf numFmtId="166" fontId="41" fillId="2" borderId="1" xfId="0" applyNumberFormat="1" applyFont="1" applyFill="1" applyBorder="1" applyAlignment="1">
      <alignment horizontal="center" vertical="center" wrapText="1"/>
    </xf>
    <xf numFmtId="0" fontId="41" fillId="2" borderId="1" xfId="0" applyFont="1" applyFill="1" applyBorder="1" applyAlignment="1">
      <alignment horizontal="center" vertical="center" wrapText="1"/>
    </xf>
    <xf numFmtId="0" fontId="50" fillId="0" borderId="0" xfId="0" applyFont="1" applyAlignment="1">
      <alignment wrapText="1"/>
    </xf>
    <xf numFmtId="0" fontId="0" fillId="14" borderId="1" xfId="0" applyFill="1" applyBorder="1" applyAlignment="1">
      <alignment horizontal="center" vertical="center" wrapText="1"/>
    </xf>
    <xf numFmtId="14" fontId="0" fillId="14" borderId="1" xfId="0" applyNumberFormat="1" applyFill="1" applyBorder="1" applyAlignment="1">
      <alignment horizontal="center" vertical="center" wrapText="1"/>
    </xf>
    <xf numFmtId="166" fontId="50" fillId="0" borderId="0" xfId="0" applyNumberFormat="1" applyFont="1" applyAlignment="1">
      <alignment wrapText="1"/>
    </xf>
    <xf numFmtId="0" fontId="50" fillId="0" borderId="0" xfId="0" applyFont="1" applyAlignment="1">
      <alignment horizontal="left" vertical="center" wrapText="1"/>
    </xf>
    <xf numFmtId="0" fontId="0" fillId="0" borderId="34" xfId="0" applyBorder="1" applyAlignment="1">
      <alignment wrapText="1"/>
    </xf>
    <xf numFmtId="15" fontId="0" fillId="29" borderId="1" xfId="0" applyNumberFormat="1" applyFill="1" applyBorder="1" applyAlignment="1">
      <alignment horizontal="center" vertical="center" wrapText="1"/>
    </xf>
    <xf numFmtId="15" fontId="43" fillId="29" borderId="1" xfId="0" applyNumberFormat="1" applyFont="1" applyFill="1" applyBorder="1" applyAlignment="1">
      <alignment horizontal="center" vertical="center" wrapText="1"/>
    </xf>
    <xf numFmtId="0" fontId="42" fillId="16" borderId="1" xfId="0" applyFont="1" applyFill="1" applyBorder="1" applyAlignment="1">
      <alignment horizontal="center" vertical="center" wrapText="1"/>
    </xf>
    <xf numFmtId="164" fontId="41" fillId="16" borderId="1" xfId="0" applyNumberFormat="1" applyFont="1" applyFill="1" applyBorder="1" applyAlignment="1">
      <alignment horizontal="center" vertical="center" wrapText="1"/>
    </xf>
    <xf numFmtId="166" fontId="41" fillId="16" borderId="1" xfId="0" applyNumberFormat="1" applyFont="1" applyFill="1" applyBorder="1" applyAlignment="1">
      <alignment horizontal="center" vertical="center" wrapText="1"/>
    </xf>
    <xf numFmtId="0" fontId="41" fillId="16" borderId="1" xfId="0" applyFont="1" applyFill="1" applyBorder="1" applyAlignment="1">
      <alignment horizontal="center" vertical="center" wrapText="1"/>
    </xf>
    <xf numFmtId="0" fontId="41" fillId="3"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0" fillId="16" borderId="1" xfId="0" applyFill="1" applyBorder="1" applyAlignment="1">
      <alignment horizontal="center" vertical="center" wrapText="1"/>
    </xf>
    <xf numFmtId="164" fontId="41" fillId="0" borderId="1" xfId="0" applyNumberFormat="1" applyFont="1" applyBorder="1" applyAlignment="1">
      <alignment horizontal="center" vertical="center" wrapText="1"/>
    </xf>
    <xf numFmtId="166" fontId="42" fillId="2" borderId="1" xfId="0" applyNumberFormat="1" applyFont="1" applyFill="1" applyBorder="1" applyAlignment="1">
      <alignment horizontal="center" vertical="center" wrapText="1"/>
    </xf>
    <xf numFmtId="0" fontId="42" fillId="20" borderId="1" xfId="0" applyFont="1" applyFill="1" applyBorder="1" applyAlignment="1">
      <alignment horizontal="center" vertical="center" wrapText="1"/>
    </xf>
    <xf numFmtId="15" fontId="0" fillId="16" borderId="1" xfId="0" applyNumberFormat="1" applyFill="1" applyBorder="1" applyAlignment="1">
      <alignment horizontal="center" vertical="center" wrapText="1"/>
    </xf>
    <xf numFmtId="0" fontId="5" fillId="16" borderId="1" xfId="0" applyFont="1" applyFill="1" applyBorder="1" applyAlignment="1">
      <alignment horizontal="center" vertical="center" wrapText="1"/>
    </xf>
    <xf numFmtId="166" fontId="0" fillId="16" borderId="1" xfId="0" applyNumberFormat="1" applyFill="1" applyBorder="1" applyAlignment="1">
      <alignment horizontal="center" vertical="center" wrapText="1"/>
    </xf>
    <xf numFmtId="164" fontId="0" fillId="16" borderId="1" xfId="0" applyNumberFormat="1" applyFill="1" applyBorder="1" applyAlignment="1">
      <alignment horizontal="center" vertical="center" wrapText="1"/>
    </xf>
    <xf numFmtId="0" fontId="3" fillId="16" borderId="1" xfId="1" applyFill="1" applyBorder="1" applyAlignment="1">
      <alignment horizontal="center" vertical="center" wrapText="1"/>
    </xf>
    <xf numFmtId="0" fontId="13" fillId="16"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32" borderId="1" xfId="0" applyFont="1" applyFill="1" applyBorder="1" applyAlignment="1">
      <alignment horizontal="center" vertical="center" wrapText="1"/>
    </xf>
    <xf numFmtId="0" fontId="13" fillId="32"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164" fontId="0" fillId="13" borderId="1" xfId="0" applyNumberFormat="1" applyFill="1" applyBorder="1" applyAlignment="1">
      <alignment horizontal="center" vertical="center" wrapText="1"/>
    </xf>
    <xf numFmtId="0" fontId="3" fillId="2" borderId="1" xfId="1" applyFill="1" applyBorder="1" applyAlignment="1">
      <alignment horizontal="center" vertical="center" wrapText="1"/>
    </xf>
    <xf numFmtId="0" fontId="3" fillId="20" borderId="1" xfId="1" applyFill="1" applyBorder="1" applyAlignment="1">
      <alignment horizontal="center" vertical="center" wrapText="1"/>
    </xf>
    <xf numFmtId="0" fontId="13" fillId="19" borderId="1" xfId="0" applyFont="1" applyFill="1" applyBorder="1" applyAlignment="1">
      <alignment horizontal="center" vertical="center" wrapText="1"/>
    </xf>
    <xf numFmtId="166" fontId="0" fillId="20"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16" fontId="5" fillId="13" borderId="1" xfId="0" applyNumberFormat="1" applyFont="1" applyFill="1" applyBorder="1" applyAlignment="1">
      <alignment horizontal="center" vertical="center" wrapText="1"/>
    </xf>
    <xf numFmtId="0" fontId="0" fillId="0" borderId="1" xfId="0" applyBorder="1" applyAlignment="1">
      <alignment horizontal="center" wrapText="1"/>
    </xf>
    <xf numFmtId="0" fontId="0" fillId="29" borderId="0" xfId="0" applyFill="1" applyAlignment="1">
      <alignment horizontal="center" vertical="center" wrapText="1"/>
    </xf>
    <xf numFmtId="0" fontId="16" fillId="29" borderId="0" xfId="0" applyFont="1" applyFill="1" applyAlignment="1">
      <alignment horizontal="center" vertical="center" wrapText="1"/>
    </xf>
    <xf numFmtId="0" fontId="0" fillId="0" borderId="0" xfId="0" applyAlignment="1">
      <alignment horizontal="center" vertical="center" wrapText="1"/>
    </xf>
    <xf numFmtId="15" fontId="0" fillId="2" borderId="1" xfId="0" applyNumberFormat="1" applyFill="1" applyBorder="1" applyAlignment="1">
      <alignment horizontal="center" vertical="center" wrapText="1"/>
    </xf>
    <xf numFmtId="166"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2" borderId="1" xfId="0" applyFill="1" applyBorder="1" applyAlignment="1">
      <alignment horizontal="left" vertical="center" wrapText="1"/>
    </xf>
    <xf numFmtId="16" fontId="0" fillId="2" borderId="1" xfId="0" applyNumberFormat="1" applyFill="1" applyBorder="1" applyAlignment="1">
      <alignment horizontal="center" vertical="center" wrapText="1"/>
    </xf>
    <xf numFmtId="15" fontId="0" fillId="20" borderId="1" xfId="0" applyNumberFormat="1" applyFill="1" applyBorder="1" applyAlignment="1">
      <alignment horizontal="center" vertical="center" wrapText="1"/>
    </xf>
    <xf numFmtId="164" fontId="0" fillId="20" borderId="1" xfId="0" applyNumberFormat="1" applyFill="1" applyBorder="1" applyAlignment="1">
      <alignment horizontal="center" vertical="center" wrapText="1"/>
    </xf>
    <xf numFmtId="0" fontId="44" fillId="20" borderId="0" xfId="0" applyFont="1" applyFill="1" applyAlignment="1">
      <alignment horizontal="center" vertical="center" wrapText="1"/>
    </xf>
    <xf numFmtId="0" fontId="5" fillId="28" borderId="1" xfId="0" applyFont="1" applyFill="1" applyBorder="1" applyAlignment="1">
      <alignment horizontal="center" vertical="center" wrapText="1"/>
    </xf>
    <xf numFmtId="15" fontId="0" fillId="28" borderId="1" xfId="0" applyNumberFormat="1" applyFill="1" applyBorder="1" applyAlignment="1">
      <alignment horizontal="center" vertical="center" wrapText="1"/>
    </xf>
    <xf numFmtId="166" fontId="0" fillId="28" borderId="1" xfId="0" applyNumberFormat="1" applyFill="1" applyBorder="1" applyAlignment="1">
      <alignment horizontal="center" vertical="center" wrapText="1"/>
    </xf>
    <xf numFmtId="164" fontId="0" fillId="28" borderId="1" xfId="0" applyNumberFormat="1" applyFill="1" applyBorder="1" applyAlignment="1">
      <alignment horizontal="center" vertical="center" wrapText="1"/>
    </xf>
    <xf numFmtId="0" fontId="45" fillId="0" borderId="0" xfId="0" applyFont="1" applyAlignment="1">
      <alignment horizontal="center" vertical="center" wrapText="1"/>
    </xf>
    <xf numFmtId="0" fontId="0" fillId="31" borderId="1" xfId="0" applyFill="1" applyBorder="1" applyAlignment="1">
      <alignment horizontal="center" vertical="center" wrapText="1"/>
    </xf>
    <xf numFmtId="0" fontId="8" fillId="2" borderId="1" xfId="0" applyFont="1" applyFill="1" applyBorder="1" applyAlignment="1">
      <alignment horizontal="center" vertical="center" wrapText="1" readingOrder="1"/>
    </xf>
    <xf numFmtId="0" fontId="0" fillId="38" borderId="1" xfId="0" applyFill="1" applyBorder="1" applyAlignment="1">
      <alignment horizontal="center" vertical="center" wrapText="1"/>
    </xf>
    <xf numFmtId="0" fontId="0" fillId="16" borderId="0" xfId="0" applyFill="1" applyAlignment="1">
      <alignment horizontal="center" vertical="center" wrapText="1"/>
    </xf>
    <xf numFmtId="0" fontId="30" fillId="16"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6" fillId="13"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6" fontId="0" fillId="0" borderId="1" xfId="0" applyNumberFormat="1" applyBorder="1" applyAlignment="1">
      <alignment horizontal="center" vertical="center" wrapText="1"/>
    </xf>
    <xf numFmtId="0" fontId="6" fillId="0" borderId="1" xfId="0" applyFont="1" applyBorder="1" applyAlignment="1">
      <alignment horizontal="center" vertical="center" wrapText="1"/>
    </xf>
    <xf numFmtId="0" fontId="41" fillId="20" borderId="1" xfId="0" applyFont="1" applyFill="1" applyBorder="1" applyAlignment="1">
      <alignment horizontal="center" vertical="center" wrapText="1"/>
    </xf>
    <xf numFmtId="0" fontId="41" fillId="8" borderId="1" xfId="0" applyFont="1" applyFill="1" applyBorder="1" applyAlignment="1">
      <alignment horizontal="center" vertical="center" wrapText="1"/>
    </xf>
    <xf numFmtId="0" fontId="41" fillId="15" borderId="1" xfId="0" applyFont="1" applyFill="1" applyBorder="1" applyAlignment="1">
      <alignment horizontal="center" vertical="center" wrapText="1"/>
    </xf>
    <xf numFmtId="0" fontId="41" fillId="0" borderId="35" xfId="0" applyFont="1" applyBorder="1" applyAlignment="1">
      <alignment horizontal="center" vertical="center" wrapText="1"/>
    </xf>
    <xf numFmtId="0" fontId="42" fillId="0" borderId="1" xfId="0" applyFont="1" applyBorder="1" applyAlignment="1">
      <alignment horizontal="center" vertical="center" wrapText="1"/>
    </xf>
    <xf numFmtId="165" fontId="42" fillId="0" borderId="1" xfId="0" applyNumberFormat="1" applyFont="1" applyBorder="1" applyAlignment="1">
      <alignment horizontal="center" vertical="center" wrapText="1"/>
    </xf>
    <xf numFmtId="166" fontId="42" fillId="0" borderId="1" xfId="0" applyNumberFormat="1" applyFont="1" applyBorder="1" applyAlignment="1">
      <alignment horizontal="center" vertical="center" wrapText="1"/>
    </xf>
    <xf numFmtId="0" fontId="41" fillId="0" borderId="10" xfId="0" applyFont="1" applyBorder="1" applyAlignment="1">
      <alignment horizontal="center" vertical="center" wrapText="1"/>
    </xf>
    <xf numFmtId="0" fontId="35" fillId="20" borderId="34" xfId="0" applyFont="1" applyFill="1" applyBorder="1" applyAlignment="1">
      <alignment horizontal="center" vertical="center" wrapText="1"/>
    </xf>
    <xf numFmtId="0" fontId="41" fillId="0" borderId="11" xfId="0" applyFont="1" applyBorder="1" applyAlignment="1">
      <alignment horizontal="center" vertical="center" wrapText="1"/>
    </xf>
    <xf numFmtId="0" fontId="41" fillId="0" borderId="12" xfId="0" applyFont="1" applyBorder="1" applyAlignment="1">
      <alignment horizontal="center" vertical="center" wrapText="1"/>
    </xf>
    <xf numFmtId="166" fontId="41" fillId="13" borderId="1" xfId="0" applyNumberFormat="1" applyFont="1" applyFill="1" applyBorder="1" applyAlignment="1">
      <alignment horizontal="center" vertical="center" wrapText="1"/>
    </xf>
    <xf numFmtId="164" fontId="41" fillId="13" borderId="1" xfId="0" applyNumberFormat="1" applyFont="1" applyFill="1" applyBorder="1" applyAlignment="1">
      <alignment horizontal="center" vertical="center" wrapText="1"/>
    </xf>
    <xf numFmtId="164" fontId="41" fillId="15" borderId="1" xfId="0" applyNumberFormat="1" applyFont="1" applyFill="1" applyBorder="1" applyAlignment="1">
      <alignment horizontal="center" vertical="center" wrapText="1"/>
    </xf>
    <xf numFmtId="0" fontId="41" fillId="0" borderId="34" xfId="0" applyFont="1" applyBorder="1" applyAlignment="1">
      <alignment horizontal="center" vertical="center" wrapText="1"/>
    </xf>
    <xf numFmtId="0" fontId="35" fillId="20" borderId="37" xfId="0" applyFont="1" applyFill="1" applyBorder="1" applyAlignment="1">
      <alignment horizontal="center" vertical="center" wrapText="1"/>
    </xf>
    <xf numFmtId="0" fontId="41" fillId="20" borderId="9" xfId="0" applyFont="1" applyFill="1" applyBorder="1" applyAlignment="1">
      <alignment horizontal="center" vertical="center" wrapText="1"/>
    </xf>
    <xf numFmtId="0" fontId="49" fillId="0" borderId="34" xfId="0" applyFont="1" applyBorder="1" applyAlignment="1">
      <alignment horizontal="center" vertical="center" wrapText="1"/>
    </xf>
    <xf numFmtId="0" fontId="41" fillId="20" borderId="34" xfId="0" applyFont="1" applyFill="1" applyBorder="1" applyAlignment="1">
      <alignment horizontal="center" vertical="center" wrapText="1"/>
    </xf>
    <xf numFmtId="0" fontId="41" fillId="20" borderId="10" xfId="0" applyFont="1" applyFill="1" applyBorder="1" applyAlignment="1">
      <alignment horizontal="center" vertical="center" wrapText="1"/>
    </xf>
    <xf numFmtId="0" fontId="49" fillId="20" borderId="34" xfId="0" applyFont="1" applyFill="1" applyBorder="1" applyAlignment="1">
      <alignment horizontal="center" vertical="center" wrapText="1"/>
    </xf>
    <xf numFmtId="0" fontId="41" fillId="20" borderId="11" xfId="0" applyFont="1" applyFill="1" applyBorder="1" applyAlignment="1">
      <alignment horizontal="center" vertical="center" wrapText="1"/>
    </xf>
    <xf numFmtId="0" fontId="41" fillId="20" borderId="12" xfId="0" applyFont="1" applyFill="1" applyBorder="1" applyAlignment="1">
      <alignment horizontal="center" vertical="center" wrapText="1"/>
    </xf>
    <xf numFmtId="165" fontId="42" fillId="20" borderId="1" xfId="0" applyNumberFormat="1" applyFont="1" applyFill="1" applyBorder="1" applyAlignment="1">
      <alignment horizontal="center" vertical="center" wrapText="1"/>
    </xf>
    <xf numFmtId="164" fontId="41" fillId="20" borderId="1" xfId="0" applyNumberFormat="1" applyFont="1" applyFill="1" applyBorder="1" applyAlignment="1">
      <alignment horizontal="center" vertical="center" wrapText="1"/>
    </xf>
    <xf numFmtId="0" fontId="41" fillId="8" borderId="9" xfId="0" applyFont="1" applyFill="1" applyBorder="1" applyAlignment="1">
      <alignment horizontal="center" vertical="center" wrapText="1"/>
    </xf>
    <xf numFmtId="0" fontId="41" fillId="18" borderId="1" xfId="0" applyFont="1" applyFill="1" applyBorder="1" applyAlignment="1">
      <alignment horizontal="center" vertical="center" wrapText="1"/>
    </xf>
    <xf numFmtId="0" fontId="42" fillId="15" borderId="1" xfId="0" applyFont="1" applyFill="1" applyBorder="1" applyAlignment="1">
      <alignment horizontal="center" vertical="center" wrapText="1"/>
    </xf>
    <xf numFmtId="166" fontId="41" fillId="15" borderId="1" xfId="0" applyNumberFormat="1" applyFont="1" applyFill="1" applyBorder="1" applyAlignment="1">
      <alignment horizontal="center" vertical="center" wrapText="1"/>
    </xf>
    <xf numFmtId="0" fontId="42" fillId="13" borderId="1" xfId="0" applyFont="1" applyFill="1" applyBorder="1" applyAlignment="1">
      <alignment horizontal="center" vertical="center" wrapText="1"/>
    </xf>
    <xf numFmtId="0" fontId="49" fillId="0" borderId="1" xfId="0" applyFont="1" applyBorder="1" applyAlignment="1">
      <alignment horizontal="center" vertical="center" wrapText="1"/>
    </xf>
    <xf numFmtId="0" fontId="49" fillId="20" borderId="1" xfId="0" applyFont="1" applyFill="1" applyBorder="1" applyAlignment="1">
      <alignment horizontal="center" vertical="center" wrapText="1"/>
    </xf>
    <xf numFmtId="0" fontId="41" fillId="8" borderId="35" xfId="0" applyFont="1" applyFill="1" applyBorder="1" applyAlignment="1">
      <alignment horizontal="center" vertical="center" wrapText="1"/>
    </xf>
    <xf numFmtId="0" fontId="42" fillId="18" borderId="1" xfId="0" applyFont="1" applyFill="1" applyBorder="1" applyAlignment="1">
      <alignment horizontal="center" vertical="center" wrapText="1"/>
    </xf>
    <xf numFmtId="166" fontId="41" fillId="18" borderId="1" xfId="0" applyNumberFormat="1" applyFont="1" applyFill="1" applyBorder="1" applyAlignment="1">
      <alignment horizontal="center" vertical="center" wrapText="1"/>
    </xf>
    <xf numFmtId="164" fontId="41" fillId="18" borderId="1" xfId="0" applyNumberFormat="1" applyFont="1" applyFill="1" applyBorder="1" applyAlignment="1">
      <alignment horizontal="center" vertical="center" wrapText="1"/>
    </xf>
    <xf numFmtId="0" fontId="41" fillId="2" borderId="40" xfId="0" applyFont="1" applyFill="1" applyBorder="1" applyAlignment="1">
      <alignment horizontal="center" vertical="center" wrapText="1"/>
    </xf>
    <xf numFmtId="166" fontId="41" fillId="13" borderId="40" xfId="0" applyNumberFormat="1" applyFont="1" applyFill="1" applyBorder="1" applyAlignment="1">
      <alignment horizontal="center" vertical="center" wrapText="1"/>
    </xf>
    <xf numFmtId="166" fontId="41" fillId="13" borderId="34" xfId="0" applyNumberFormat="1" applyFont="1" applyFill="1" applyBorder="1" applyAlignment="1">
      <alignment horizontal="center" vertical="center" wrapText="1"/>
    </xf>
    <xf numFmtId="165" fontId="42" fillId="0" borderId="40" xfId="0" applyNumberFormat="1" applyFont="1" applyBorder="1" applyAlignment="1">
      <alignment horizontal="center" vertical="center" wrapText="1"/>
    </xf>
    <xf numFmtId="166" fontId="42" fillId="0" borderId="40" xfId="0" applyNumberFormat="1" applyFont="1" applyBorder="1" applyAlignment="1">
      <alignment horizontal="center" vertical="center" wrapText="1"/>
    </xf>
    <xf numFmtId="166" fontId="42" fillId="0" borderId="34" xfId="0" applyNumberFormat="1" applyFont="1" applyBorder="1" applyAlignment="1">
      <alignment horizontal="center" vertical="center" wrapText="1"/>
    </xf>
    <xf numFmtId="0" fontId="41" fillId="9" borderId="1" xfId="0" applyFont="1" applyFill="1" applyBorder="1" applyAlignment="1">
      <alignment horizontal="center" vertical="center" wrapText="1"/>
    </xf>
    <xf numFmtId="0" fontId="49" fillId="0" borderId="9" xfId="0" applyFont="1" applyBorder="1" applyAlignment="1">
      <alignment horizontal="center" vertical="center" wrapText="1"/>
    </xf>
    <xf numFmtId="0" fontId="49" fillId="0" borderId="35" xfId="0" applyFont="1" applyBorder="1" applyAlignment="1">
      <alignment horizontal="center" vertical="center" wrapText="1"/>
    </xf>
    <xf numFmtId="0" fontId="42" fillId="0" borderId="35" xfId="0" applyFont="1" applyBorder="1" applyAlignment="1">
      <alignment horizontal="center" vertical="center" wrapText="1"/>
    </xf>
    <xf numFmtId="165" fontId="42" fillId="0" borderId="35" xfId="0" applyNumberFormat="1" applyFont="1" applyBorder="1" applyAlignment="1">
      <alignment horizontal="center" vertical="center" wrapText="1"/>
    </xf>
    <xf numFmtId="164" fontId="41" fillId="0" borderId="35" xfId="0" applyNumberFormat="1" applyFont="1" applyBorder="1" applyAlignment="1">
      <alignment horizontal="center" vertical="center" wrapText="1"/>
    </xf>
    <xf numFmtId="0" fontId="41" fillId="2" borderId="35" xfId="0" applyFont="1" applyFill="1" applyBorder="1" applyAlignment="1">
      <alignment horizontal="center" vertical="center" wrapText="1"/>
    </xf>
    <xf numFmtId="0" fontId="41" fillId="0" borderId="39" xfId="0" applyFont="1" applyBorder="1" applyAlignment="1">
      <alignment horizontal="center" vertical="center" wrapText="1"/>
    </xf>
    <xf numFmtId="0" fontId="42" fillId="0" borderId="34" xfId="0" applyFont="1" applyBorder="1" applyAlignment="1">
      <alignment horizontal="center" vertical="center" wrapText="1"/>
    </xf>
    <xf numFmtId="165" fontId="42" fillId="0" borderId="34" xfId="0" applyNumberFormat="1" applyFont="1" applyBorder="1" applyAlignment="1">
      <alignment horizontal="center" vertical="center" wrapText="1"/>
    </xf>
    <xf numFmtId="164" fontId="41" fillId="0" borderId="34" xfId="0" applyNumberFormat="1" applyFont="1" applyBorder="1" applyAlignment="1">
      <alignment horizontal="center" vertical="center" wrapText="1"/>
    </xf>
    <xf numFmtId="0" fontId="41" fillId="20" borderId="39" xfId="0" applyFont="1" applyFill="1" applyBorder="1" applyAlignment="1">
      <alignment horizontal="center" vertical="center" wrapText="1"/>
    </xf>
    <xf numFmtId="0" fontId="42" fillId="20" borderId="34" xfId="0" applyFont="1" applyFill="1" applyBorder="1" applyAlignment="1">
      <alignment horizontal="center" vertical="center" wrapText="1"/>
    </xf>
    <xf numFmtId="165" fontId="42" fillId="20" borderId="40" xfId="0" applyNumberFormat="1" applyFont="1" applyFill="1" applyBorder="1" applyAlignment="1">
      <alignment horizontal="center" vertical="center" wrapText="1"/>
    </xf>
    <xf numFmtId="165" fontId="42" fillId="20" borderId="34" xfId="0" applyNumberFormat="1" applyFont="1" applyFill="1" applyBorder="1" applyAlignment="1">
      <alignment horizontal="center" vertical="center" wrapText="1"/>
    </xf>
    <xf numFmtId="164" fontId="41" fillId="20" borderId="34" xfId="0" applyNumberFormat="1" applyFont="1" applyFill="1" applyBorder="1" applyAlignment="1">
      <alignment horizontal="center" vertical="center" wrapText="1"/>
    </xf>
    <xf numFmtId="0" fontId="41" fillId="20" borderId="35" xfId="0" applyFont="1" applyFill="1" applyBorder="1" applyAlignment="1">
      <alignment horizontal="center" vertical="center" wrapText="1"/>
    </xf>
    <xf numFmtId="0" fontId="0" fillId="2" borderId="9" xfId="0" applyFill="1" applyBorder="1" applyAlignment="1">
      <alignment horizontal="center" vertical="center" wrapText="1"/>
    </xf>
    <xf numFmtId="0" fontId="0" fillId="0" borderId="9" xfId="0" applyBorder="1" applyAlignment="1">
      <alignment horizontal="center" wrapText="1"/>
    </xf>
    <xf numFmtId="0" fontId="0" fillId="15" borderId="1" xfId="0" applyFill="1" applyBorder="1" applyAlignment="1">
      <alignment horizontal="center" vertical="center" wrapText="1"/>
    </xf>
    <xf numFmtId="0" fontId="8" fillId="20"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16" fontId="0" fillId="15" borderId="1" xfId="0" applyNumberFormat="1" applyFill="1" applyBorder="1" applyAlignment="1">
      <alignment horizontal="center" vertical="center" wrapText="1"/>
    </xf>
    <xf numFmtId="166" fontId="0" fillId="15" borderId="1" xfId="0" applyNumberFormat="1" applyFill="1" applyBorder="1" applyAlignment="1">
      <alignment horizontal="center" vertical="center" wrapText="1"/>
    </xf>
    <xf numFmtId="164" fontId="0" fillId="15"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15" borderId="1" xfId="0" applyFill="1" applyBorder="1" applyAlignment="1">
      <alignment horizontal="center" wrapText="1"/>
    </xf>
    <xf numFmtId="16" fontId="0" fillId="15" borderId="11" xfId="0" applyNumberFormat="1" applyFill="1" applyBorder="1" applyAlignment="1">
      <alignment horizontal="center" vertical="center" wrapText="1"/>
    </xf>
    <xf numFmtId="166" fontId="0" fillId="15" borderId="11" xfId="0" applyNumberFormat="1" applyFill="1" applyBorder="1" applyAlignment="1">
      <alignment horizontal="center" vertical="center" wrapText="1"/>
    </xf>
    <xf numFmtId="164" fontId="0" fillId="15" borderId="11" xfId="0" applyNumberFormat="1" applyFill="1" applyBorder="1" applyAlignment="1">
      <alignment horizontal="center" vertical="center" wrapText="1"/>
    </xf>
    <xf numFmtId="0" fontId="0" fillId="15" borderId="11" xfId="0" applyFill="1" applyBorder="1" applyAlignment="1">
      <alignment horizontal="center" vertical="center" wrapText="1"/>
    </xf>
    <xf numFmtId="0" fontId="0" fillId="15" borderId="12" xfId="0" applyFill="1" applyBorder="1" applyAlignment="1">
      <alignment horizontal="center" vertical="center" wrapText="1"/>
    </xf>
    <xf numFmtId="0" fontId="20" fillId="15" borderId="1" xfId="0" applyFont="1" applyFill="1" applyBorder="1" applyAlignment="1">
      <alignment horizontal="center" vertical="center" wrapText="1"/>
    </xf>
    <xf numFmtId="0" fontId="0" fillId="2" borderId="11" xfId="0" applyFill="1" applyBorder="1" applyAlignment="1">
      <alignment horizontal="center" vertical="center" wrapText="1"/>
    </xf>
    <xf numFmtId="0" fontId="12" fillId="2" borderId="1" xfId="0" applyFont="1" applyFill="1" applyBorder="1" applyAlignment="1">
      <alignment horizontal="center" vertical="center" wrapText="1"/>
    </xf>
    <xf numFmtId="16" fontId="0" fillId="16" borderId="1" xfId="0" applyNumberFormat="1" applyFill="1" applyBorder="1" applyAlignment="1">
      <alignment horizontal="center" vertical="center" wrapText="1"/>
    </xf>
    <xf numFmtId="0" fontId="0" fillId="16" borderId="1" xfId="0" applyFill="1" applyBorder="1" applyAlignment="1">
      <alignment horizontal="center" wrapText="1"/>
    </xf>
    <xf numFmtId="0" fontId="0" fillId="20" borderId="1" xfId="0" applyFill="1" applyBorder="1" applyAlignment="1">
      <alignment horizontal="center" wrapText="1"/>
    </xf>
    <xf numFmtId="16" fontId="0" fillId="20" borderId="1" xfId="0" applyNumberFormat="1" applyFill="1" applyBorder="1" applyAlignment="1">
      <alignment horizontal="center" vertical="center" wrapText="1"/>
    </xf>
    <xf numFmtId="16" fontId="0" fillId="0" borderId="1" xfId="0" applyNumberFormat="1" applyBorder="1" applyAlignment="1">
      <alignment horizontal="center" vertical="center" wrapText="1"/>
    </xf>
    <xf numFmtId="0" fontId="51" fillId="0" borderId="0" xfId="0" applyFont="1" applyAlignment="1">
      <alignment horizontal="center" vertical="center" wrapText="1"/>
    </xf>
    <xf numFmtId="0" fontId="55" fillId="0" borderId="0" xfId="0" applyFont="1" applyAlignment="1">
      <alignment wrapText="1"/>
    </xf>
    <xf numFmtId="0" fontId="41" fillId="0" borderId="43" xfId="0" applyFont="1" applyBorder="1" applyAlignment="1">
      <alignment horizontal="center" vertical="center" wrapText="1"/>
    </xf>
    <xf numFmtId="0" fontId="41" fillId="0" borderId="44" xfId="0" applyFont="1" applyBorder="1" applyAlignment="1">
      <alignment horizontal="center" vertical="center" wrapText="1"/>
    </xf>
    <xf numFmtId="0" fontId="41" fillId="0" borderId="45" xfId="0" applyFont="1" applyBorder="1" applyAlignment="1">
      <alignment horizontal="center" vertical="center" wrapText="1"/>
    </xf>
    <xf numFmtId="0" fontId="0" fillId="41" borderId="1" xfId="0" applyFill="1" applyBorder="1" applyAlignment="1">
      <alignment horizontal="center" wrapText="1"/>
    </xf>
    <xf numFmtId="0" fontId="56" fillId="15" borderId="0" xfId="0" applyFont="1" applyFill="1" applyAlignment="1">
      <alignment wrapText="1"/>
    </xf>
    <xf numFmtId="0" fontId="56" fillId="15" borderId="54" xfId="0" applyFont="1" applyFill="1" applyBorder="1" applyAlignment="1">
      <alignment wrapText="1"/>
    </xf>
    <xf numFmtId="0" fontId="57" fillId="41" borderId="55" xfId="0" applyFont="1" applyFill="1" applyBorder="1" applyAlignment="1">
      <alignment horizontal="center" vertical="center" wrapText="1"/>
    </xf>
    <xf numFmtId="1" fontId="57" fillId="41" borderId="56" xfId="0" applyNumberFormat="1" applyFont="1" applyFill="1" applyBorder="1" applyAlignment="1">
      <alignment horizontal="center" vertical="center" wrapText="1"/>
    </xf>
    <xf numFmtId="0" fontId="57" fillId="41" borderId="56" xfId="0" applyFont="1" applyFill="1" applyBorder="1" applyAlignment="1">
      <alignment horizontal="center" vertical="center" wrapText="1"/>
    </xf>
    <xf numFmtId="170" fontId="57" fillId="41" borderId="56" xfId="0" applyNumberFormat="1" applyFont="1" applyFill="1" applyBorder="1" applyAlignment="1">
      <alignment horizontal="center" vertical="center" wrapText="1"/>
    </xf>
    <xf numFmtId="0" fontId="57" fillId="41" borderId="57" xfId="0" applyFont="1" applyFill="1" applyBorder="1" applyAlignment="1">
      <alignment horizontal="center" vertical="center" wrapText="1"/>
    </xf>
    <xf numFmtId="0" fontId="57" fillId="42" borderId="55" xfId="0" applyFont="1" applyFill="1" applyBorder="1" applyAlignment="1">
      <alignment horizontal="center" vertical="center" wrapText="1"/>
    </xf>
    <xf numFmtId="1" fontId="57" fillId="42" borderId="56" xfId="0" applyNumberFormat="1" applyFont="1" applyFill="1" applyBorder="1" applyAlignment="1">
      <alignment horizontal="center" vertical="center" wrapText="1"/>
    </xf>
    <xf numFmtId="0" fontId="57" fillId="42" borderId="56" xfId="0" applyFont="1" applyFill="1" applyBorder="1" applyAlignment="1">
      <alignment horizontal="center" vertical="center" wrapText="1"/>
    </xf>
    <xf numFmtId="170" fontId="57" fillId="42" borderId="56" xfId="0" applyNumberFormat="1" applyFont="1" applyFill="1" applyBorder="1" applyAlignment="1">
      <alignment horizontal="center" vertical="center" wrapText="1"/>
    </xf>
    <xf numFmtId="0" fontId="57" fillId="42" borderId="57" xfId="0" applyFont="1" applyFill="1" applyBorder="1" applyAlignment="1">
      <alignment horizontal="center" vertical="center" wrapText="1"/>
    </xf>
    <xf numFmtId="0" fontId="39" fillId="0" borderId="59" xfId="0" applyFont="1" applyBorder="1"/>
    <xf numFmtId="0" fontId="39" fillId="0" borderId="38" xfId="0" applyFont="1" applyBorder="1" applyAlignment="1">
      <alignment wrapText="1"/>
    </xf>
    <xf numFmtId="1" fontId="39" fillId="0" borderId="9" xfId="0" applyNumberFormat="1" applyFont="1" applyBorder="1"/>
    <xf numFmtId="0" fontId="39" fillId="0" borderId="9" xfId="0" applyFont="1" applyBorder="1"/>
    <xf numFmtId="170" fontId="39" fillId="0" borderId="9" xfId="0" applyNumberFormat="1" applyFont="1" applyBorder="1"/>
    <xf numFmtId="0" fontId="39" fillId="0" borderId="61" xfId="0" applyFont="1" applyBorder="1"/>
    <xf numFmtId="0" fontId="39" fillId="5" borderId="62" xfId="0" applyFont="1" applyFill="1" applyBorder="1"/>
    <xf numFmtId="0" fontId="39" fillId="5" borderId="12" xfId="0" applyFont="1" applyFill="1" applyBorder="1" applyAlignment="1">
      <alignment wrapText="1"/>
    </xf>
    <xf numFmtId="1" fontId="39" fillId="5" borderId="1" xfId="0" applyNumberFormat="1" applyFont="1" applyFill="1" applyBorder="1"/>
    <xf numFmtId="0" fontId="39" fillId="5" borderId="1" xfId="0" applyFont="1" applyFill="1" applyBorder="1"/>
    <xf numFmtId="170" fontId="39" fillId="5" borderId="1" xfId="0" applyNumberFormat="1" applyFont="1" applyFill="1" applyBorder="1"/>
    <xf numFmtId="0" fontId="39" fillId="5" borderId="61" xfId="0" applyFont="1" applyFill="1" applyBorder="1"/>
    <xf numFmtId="0" fontId="39" fillId="0" borderId="62" xfId="0" applyFont="1" applyBorder="1"/>
    <xf numFmtId="0" fontId="39" fillId="0" borderId="12" xfId="0" applyFont="1" applyBorder="1" applyAlignment="1">
      <alignment wrapText="1"/>
    </xf>
    <xf numFmtId="1" fontId="39" fillId="0" borderId="1" xfId="0" applyNumberFormat="1" applyFont="1" applyBorder="1"/>
    <xf numFmtId="0" fontId="39" fillId="0" borderId="1" xfId="0" applyFont="1" applyBorder="1"/>
    <xf numFmtId="170" fontId="39" fillId="0" borderId="1" xfId="0" applyNumberFormat="1" applyFont="1" applyBorder="1"/>
    <xf numFmtId="0" fontId="39" fillId="39" borderId="62" xfId="0" applyFont="1" applyFill="1" applyBorder="1"/>
    <xf numFmtId="0" fontId="39" fillId="39" borderId="12" xfId="0" applyFont="1" applyFill="1" applyBorder="1" applyAlignment="1">
      <alignment wrapText="1"/>
    </xf>
    <xf numFmtId="0" fontId="39" fillId="5" borderId="67" xfId="0" applyFont="1" applyFill="1" applyBorder="1"/>
    <xf numFmtId="0" fontId="39" fillId="0" borderId="0" xfId="0" applyFont="1"/>
    <xf numFmtId="0" fontId="39" fillId="0" borderId="0" xfId="0" applyFont="1" applyAlignment="1">
      <alignment wrapText="1"/>
    </xf>
    <xf numFmtId="1" fontId="39" fillId="0" borderId="0" xfId="0" applyNumberFormat="1" applyFont="1"/>
    <xf numFmtId="170" fontId="39" fillId="0" borderId="0" xfId="0" applyNumberFormat="1" applyFont="1"/>
    <xf numFmtId="0" fontId="56" fillId="20" borderId="0" xfId="0" applyFont="1" applyFill="1"/>
    <xf numFmtId="0" fontId="56" fillId="20" borderId="0" xfId="0" applyFont="1" applyFill="1" applyAlignment="1">
      <alignment wrapText="1"/>
    </xf>
    <xf numFmtId="1" fontId="56" fillId="20" borderId="0" xfId="0" applyNumberFormat="1" applyFont="1" applyFill="1"/>
    <xf numFmtId="170" fontId="56" fillId="20" borderId="0" xfId="0" applyNumberFormat="1" applyFont="1" applyFill="1"/>
    <xf numFmtId="1" fontId="58" fillId="22" borderId="53" xfId="0" applyNumberFormat="1" applyFont="1" applyFill="1" applyBorder="1" applyAlignment="1">
      <alignment wrapText="1"/>
    </xf>
    <xf numFmtId="1" fontId="60" fillId="22" borderId="58" xfId="0" applyNumberFormat="1" applyFont="1" applyFill="1" applyBorder="1" applyAlignment="1">
      <alignment horizontal="center" vertical="center" wrapText="1"/>
    </xf>
    <xf numFmtId="1" fontId="39" fillId="0" borderId="61" xfId="0" applyNumberFormat="1" applyFont="1" applyBorder="1"/>
    <xf numFmtId="1" fontId="39" fillId="5" borderId="61" xfId="0" applyNumberFormat="1" applyFont="1" applyFill="1" applyBorder="1"/>
    <xf numFmtId="1" fontId="0" fillId="0" borderId="0" xfId="0" applyNumberFormat="1"/>
    <xf numFmtId="170" fontId="0" fillId="0" borderId="0" xfId="0" applyNumberFormat="1"/>
    <xf numFmtId="0" fontId="0" fillId="0" borderId="1" xfId="0" applyBorder="1" applyAlignment="1">
      <alignment horizontal="center"/>
    </xf>
    <xf numFmtId="0" fontId="0" fillId="2" borderId="1" xfId="0" applyFill="1" applyBorder="1" applyAlignment="1">
      <alignment horizontal="center" vertical="center"/>
    </xf>
    <xf numFmtId="0" fontId="0" fillId="28" borderId="1" xfId="0" applyFill="1" applyBorder="1" applyAlignment="1">
      <alignment horizontal="center" vertical="center"/>
    </xf>
    <xf numFmtId="0" fontId="0" fillId="29" borderId="1" xfId="0" applyFill="1" applyBorder="1" applyAlignment="1">
      <alignment horizontal="center" vertical="center"/>
    </xf>
    <xf numFmtId="0" fontId="0" fillId="30" borderId="1"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horizontal="center" vertical="center"/>
    </xf>
    <xf numFmtId="0" fontId="0" fillId="0" borderId="1" xfId="0" applyBorder="1" applyAlignment="1">
      <alignment horizontal="center" vertical="center"/>
    </xf>
    <xf numFmtId="166" fontId="0" fillId="13" borderId="1" xfId="0" applyNumberFormat="1" applyFill="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vertical="top"/>
    </xf>
    <xf numFmtId="0" fontId="0" fillId="20" borderId="1" xfId="0" applyFill="1" applyBorder="1" applyAlignment="1">
      <alignment horizontal="center" vertical="center"/>
    </xf>
    <xf numFmtId="0" fontId="5" fillId="20" borderId="1" xfId="0" applyFont="1" applyFill="1" applyBorder="1" applyAlignment="1">
      <alignment horizontal="center" vertical="center"/>
    </xf>
    <xf numFmtId="164" fontId="0" fillId="20" borderId="1" xfId="0" applyNumberFormat="1" applyFill="1" applyBorder="1" applyAlignment="1">
      <alignment horizontal="center" vertical="center"/>
    </xf>
    <xf numFmtId="166" fontId="0" fillId="20" borderId="1" xfId="0" applyNumberFormat="1" applyFill="1" applyBorder="1" applyAlignment="1">
      <alignment horizontal="center" vertical="center"/>
    </xf>
    <xf numFmtId="0" fontId="0" fillId="16" borderId="1" xfId="0" applyFill="1" applyBorder="1" applyAlignment="1">
      <alignment horizontal="center" vertical="center"/>
    </xf>
    <xf numFmtId="0" fontId="5" fillId="16" borderId="1" xfId="0" applyFont="1" applyFill="1" applyBorder="1" applyAlignment="1">
      <alignment horizontal="center" vertical="center"/>
    </xf>
    <xf numFmtId="164" fontId="0" fillId="16" borderId="1" xfId="0" applyNumberFormat="1" applyFill="1" applyBorder="1" applyAlignment="1">
      <alignment horizontal="center" vertical="center"/>
    </xf>
    <xf numFmtId="166" fontId="0" fillId="16" borderId="1" xfId="0" applyNumberFormat="1" applyFill="1" applyBorder="1" applyAlignment="1">
      <alignment horizontal="center" vertical="center"/>
    </xf>
    <xf numFmtId="0" fontId="0" fillId="14" borderId="1" xfId="0" applyFill="1" applyBorder="1" applyAlignment="1">
      <alignment horizontal="center" vertical="center"/>
    </xf>
    <xf numFmtId="0" fontId="5"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166" fontId="0" fillId="2" borderId="1" xfId="0" applyNumberFormat="1" applyFill="1" applyBorder="1" applyAlignment="1">
      <alignment horizontal="center" vertical="center"/>
    </xf>
    <xf numFmtId="0" fontId="0" fillId="2" borderId="1" xfId="0" applyFill="1" applyBorder="1" applyAlignment="1">
      <alignment horizontal="left" vertical="center"/>
    </xf>
    <xf numFmtId="0" fontId="13" fillId="19" borderId="1" xfId="0" applyFont="1" applyFill="1" applyBorder="1" applyAlignment="1">
      <alignment horizontal="center" vertical="center"/>
    </xf>
    <xf numFmtId="0" fontId="5" fillId="0" borderId="1" xfId="0" applyFont="1" applyBorder="1" applyAlignment="1">
      <alignment horizontal="center" vertical="center"/>
    </xf>
    <xf numFmtId="164"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65" fillId="0" borderId="0" xfId="0" applyFont="1"/>
    <xf numFmtId="0" fontId="49" fillId="0" borderId="40" xfId="0" applyFont="1" applyBorder="1" applyAlignment="1">
      <alignment horizontal="center" vertical="center" wrapText="1"/>
    </xf>
    <xf numFmtId="0" fontId="49" fillId="43" borderId="12" xfId="0" applyFont="1" applyFill="1" applyBorder="1" applyAlignment="1">
      <alignment horizontal="center" vertical="center" wrapText="1"/>
    </xf>
    <xf numFmtId="0" fontId="49" fillId="0" borderId="12" xfId="0" applyFont="1" applyBorder="1" applyAlignment="1">
      <alignment horizontal="center" vertical="center" wrapText="1"/>
    </xf>
    <xf numFmtId="0" fontId="49" fillId="0" borderId="38" xfId="0" applyFont="1" applyBorder="1" applyAlignment="1">
      <alignment horizontal="center" vertical="center" wrapText="1"/>
    </xf>
    <xf numFmtId="0" fontId="49" fillId="0" borderId="46" xfId="0" applyFont="1" applyBorder="1" applyAlignment="1">
      <alignment horizontal="center" vertical="center" wrapText="1"/>
    </xf>
    <xf numFmtId="0" fontId="49" fillId="0" borderId="0" xfId="0" applyFont="1" applyAlignment="1">
      <alignment horizontal="center" vertical="center" wrapText="1"/>
    </xf>
    <xf numFmtId="0" fontId="49" fillId="0" borderId="41"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44" xfId="0" applyFont="1" applyBorder="1" applyAlignment="1">
      <alignment horizontal="center" vertical="center" wrapText="1"/>
    </xf>
    <xf numFmtId="0" fontId="49" fillId="0" borderId="69" xfId="0" applyFont="1" applyBorder="1" applyAlignment="1">
      <alignment horizontal="center" vertical="center" wrapText="1"/>
    </xf>
    <xf numFmtId="15" fontId="8" fillId="0" borderId="1" xfId="0" applyNumberFormat="1" applyFont="1" applyBorder="1" applyAlignment="1">
      <alignment horizontal="center" vertical="center" wrapText="1"/>
    </xf>
    <xf numFmtId="15" fontId="8" fillId="0" borderId="9" xfId="0" applyNumberFormat="1" applyFont="1" applyBorder="1" applyAlignment="1">
      <alignment horizontal="center" vertical="center" wrapText="1"/>
    </xf>
    <xf numFmtId="0" fontId="0" fillId="20" borderId="1" xfId="0" applyFill="1" applyBorder="1" applyAlignment="1">
      <alignment horizontal="left" vertical="top" wrapText="1"/>
    </xf>
    <xf numFmtId="14" fontId="0" fillId="20" borderId="1" xfId="0" applyNumberForma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28" fillId="7" borderId="1" xfId="0" applyFont="1" applyFill="1" applyBorder="1" applyAlignment="1">
      <alignment horizontal="left" vertical="top" wrapText="1"/>
    </xf>
    <xf numFmtId="0" fontId="28" fillId="8" borderId="1" xfId="0" applyFont="1" applyFill="1" applyBorder="1" applyAlignment="1">
      <alignment horizontal="left" vertical="top" wrapText="1"/>
    </xf>
    <xf numFmtId="166" fontId="28" fillId="8" borderId="1" xfId="0" applyNumberFormat="1" applyFont="1" applyFill="1" applyBorder="1" applyAlignment="1">
      <alignment horizontal="left" vertical="top" wrapText="1"/>
    </xf>
    <xf numFmtId="0" fontId="28" fillId="2" borderId="1" xfId="0" applyFont="1" applyFill="1" applyBorder="1" applyAlignment="1">
      <alignment horizontal="left" vertical="top" wrapText="1"/>
    </xf>
    <xf numFmtId="0" fontId="66" fillId="0" borderId="0" xfId="0" applyFont="1" applyAlignment="1">
      <alignment horizontal="left" vertical="center"/>
    </xf>
    <xf numFmtId="0" fontId="66" fillId="0" borderId="0" xfId="0" applyFont="1" applyAlignment="1">
      <alignment vertical="center" wrapText="1"/>
    </xf>
    <xf numFmtId="166" fontId="66" fillId="0" borderId="0" xfId="0" applyNumberFormat="1" applyFont="1" applyAlignment="1">
      <alignment horizontal="center" vertical="center" wrapText="1"/>
    </xf>
    <xf numFmtId="0" fontId="66" fillId="0" borderId="0" xfId="0" applyFont="1" applyAlignment="1">
      <alignment vertical="center"/>
    </xf>
    <xf numFmtId="0" fontId="66" fillId="0" borderId="0" xfId="0" applyFont="1" applyAlignment="1">
      <alignment horizontal="center" vertical="center" wrapText="1"/>
    </xf>
    <xf numFmtId="169" fontId="67" fillId="0" borderId="0" xfId="0" applyNumberFormat="1" applyFont="1" applyAlignment="1">
      <alignment horizontal="center" vertical="center" wrapText="1"/>
    </xf>
    <xf numFmtId="169" fontId="66" fillId="0" borderId="0" xfId="0" applyNumberFormat="1" applyFont="1" applyAlignment="1">
      <alignment horizontal="center" vertical="center" wrapText="1"/>
    </xf>
    <xf numFmtId="0" fontId="53" fillId="14" borderId="70" xfId="0" applyFont="1" applyFill="1" applyBorder="1" applyAlignment="1">
      <alignment horizontal="left" vertical="center" wrapText="1"/>
    </xf>
    <xf numFmtId="0" fontId="52" fillId="0" borderId="71" xfId="0" applyFont="1" applyBorder="1" applyAlignment="1">
      <alignment horizontal="left" vertical="center" wrapText="1"/>
    </xf>
    <xf numFmtId="0" fontId="68" fillId="0" borderId="0" xfId="0" applyFont="1"/>
    <xf numFmtId="0" fontId="69" fillId="0" borderId="0" xfId="0" applyFont="1"/>
    <xf numFmtId="171" fontId="0" fillId="15" borderId="1" xfId="0" applyNumberFormat="1" applyFill="1" applyBorder="1" applyAlignment="1">
      <alignment horizontal="center" vertical="center" wrapText="1"/>
    </xf>
    <xf numFmtId="166" fontId="0" fillId="28" borderId="34" xfId="0" applyNumberFormat="1" applyFill="1" applyBorder="1" applyAlignment="1">
      <alignment horizontal="center" vertical="center" wrapText="1"/>
    </xf>
    <xf numFmtId="164" fontId="0" fillId="28" borderId="34" xfId="0" applyNumberFormat="1" applyFill="1" applyBorder="1" applyAlignment="1">
      <alignment horizontal="center" vertical="center" wrapText="1"/>
    </xf>
    <xf numFmtId="0" fontId="0" fillId="28" borderId="34" xfId="0" applyFill="1" applyBorder="1" applyAlignment="1">
      <alignment horizontal="center" vertical="center" wrapText="1"/>
    </xf>
    <xf numFmtId="166" fontId="0" fillId="28" borderId="35" xfId="0" applyNumberFormat="1" applyFill="1" applyBorder="1" applyAlignment="1">
      <alignment horizontal="center" vertical="center" wrapText="1"/>
    </xf>
    <xf numFmtId="164" fontId="0" fillId="28" borderId="35" xfId="0" applyNumberFormat="1" applyFill="1" applyBorder="1" applyAlignment="1">
      <alignment horizontal="center" vertical="center" wrapText="1"/>
    </xf>
    <xf numFmtId="0" fontId="0" fillId="28" borderId="35" xfId="0" applyFill="1" applyBorder="1" applyAlignment="1">
      <alignment horizontal="center" vertical="center" wrapText="1"/>
    </xf>
    <xf numFmtId="0" fontId="5" fillId="28" borderId="34" xfId="0" applyFont="1" applyFill="1" applyBorder="1" applyAlignment="1">
      <alignment horizontal="center" vertical="center" wrapText="1"/>
    </xf>
    <xf numFmtId="15" fontId="0" fillId="28" borderId="34" xfId="0" applyNumberFormat="1" applyFill="1" applyBorder="1" applyAlignment="1">
      <alignment horizontal="center" vertical="center" wrapText="1"/>
    </xf>
    <xf numFmtId="0" fontId="0" fillId="28" borderId="10" xfId="0" applyFill="1" applyBorder="1" applyAlignment="1">
      <alignment horizontal="center" vertical="center" wrapText="1"/>
    </xf>
    <xf numFmtId="166" fontId="0" fillId="28" borderId="40" xfId="0" applyNumberFormat="1" applyFill="1" applyBorder="1" applyAlignment="1">
      <alignment horizontal="center" vertical="center" wrapText="1"/>
    </xf>
    <xf numFmtId="0" fontId="5" fillId="28" borderId="35" xfId="0" applyFont="1" applyFill="1" applyBorder="1" applyAlignment="1">
      <alignment horizontal="center" vertical="center" wrapText="1"/>
    </xf>
    <xf numFmtId="15" fontId="0" fillId="28" borderId="35" xfId="0" applyNumberFormat="1" applyFill="1" applyBorder="1" applyAlignment="1">
      <alignment horizontal="center" vertical="center" wrapText="1"/>
    </xf>
    <xf numFmtId="170" fontId="39" fillId="0" borderId="1" xfId="0" applyNumberFormat="1" applyFont="1" applyBorder="1" applyAlignment="1">
      <alignment horizontal="right"/>
    </xf>
    <xf numFmtId="0" fontId="49" fillId="20" borderId="9" xfId="0" applyFont="1" applyFill="1" applyBorder="1" applyAlignment="1">
      <alignment horizontal="center" vertical="center" wrapText="1"/>
    </xf>
    <xf numFmtId="0" fontId="49" fillId="20" borderId="38" xfId="0" applyFont="1" applyFill="1" applyBorder="1" applyAlignment="1">
      <alignment horizontal="center" vertical="center" wrapText="1"/>
    </xf>
    <xf numFmtId="0" fontId="50" fillId="20" borderId="0" xfId="0" applyFont="1" applyFill="1" applyAlignment="1">
      <alignment wrapText="1"/>
    </xf>
    <xf numFmtId="14" fontId="0" fillId="20" borderId="1" xfId="0" applyNumberFormat="1" applyFill="1" applyBorder="1" applyAlignment="1">
      <alignment horizontal="center" vertical="center" wrapText="1"/>
    </xf>
    <xf numFmtId="166" fontId="50" fillId="20" borderId="0" xfId="0" applyNumberFormat="1" applyFont="1" applyFill="1" applyAlignment="1">
      <alignment wrapText="1"/>
    </xf>
    <xf numFmtId="0" fontId="50" fillId="20" borderId="0" xfId="0" applyFont="1" applyFill="1" applyAlignment="1">
      <alignment horizontal="left" vertical="center" wrapText="1"/>
    </xf>
    <xf numFmtId="170" fontId="39" fillId="0" borderId="1" xfId="0" applyNumberFormat="1" applyFont="1" applyBorder="1" applyAlignment="1">
      <alignment horizontal="center"/>
    </xf>
    <xf numFmtId="15" fontId="0" fillId="0" borderId="1" xfId="0" applyNumberFormat="1" applyBorder="1" applyAlignment="1">
      <alignment horizontal="center" vertical="center"/>
    </xf>
    <xf numFmtId="0" fontId="41" fillId="44" borderId="1" xfId="0" applyFont="1" applyFill="1" applyBorder="1" applyAlignment="1">
      <alignment horizontal="center" vertical="center" wrapText="1"/>
    </xf>
    <xf numFmtId="0" fontId="49" fillId="44" borderId="9" xfId="0" applyFont="1" applyFill="1" applyBorder="1" applyAlignment="1">
      <alignment horizontal="center" vertical="center" wrapText="1"/>
    </xf>
    <xf numFmtId="0" fontId="41" fillId="44" borderId="10" xfId="0" applyFont="1" applyFill="1" applyBorder="1" applyAlignment="1">
      <alignment horizontal="center" vertical="center" wrapText="1"/>
    </xf>
    <xf numFmtId="0" fontId="49" fillId="44" borderId="34" xfId="0" applyFont="1" applyFill="1" applyBorder="1" applyAlignment="1">
      <alignment horizontal="center" vertical="center" wrapText="1"/>
    </xf>
    <xf numFmtId="0" fontId="41" fillId="44" borderId="12" xfId="0" applyFont="1" applyFill="1" applyBorder="1" applyAlignment="1">
      <alignment horizontal="center" vertical="center" wrapText="1"/>
    </xf>
    <xf numFmtId="0" fontId="42" fillId="44" borderId="1" xfId="0" applyFont="1" applyFill="1" applyBorder="1" applyAlignment="1">
      <alignment horizontal="center" vertical="center" wrapText="1"/>
    </xf>
    <xf numFmtId="165" fontId="42" fillId="44" borderId="1" xfId="0" applyNumberFormat="1" applyFont="1" applyFill="1" applyBorder="1" applyAlignment="1">
      <alignment horizontal="center" vertical="center" wrapText="1"/>
    </xf>
    <xf numFmtId="164" fontId="41" fillId="44" borderId="1" xfId="0" applyNumberFormat="1" applyFont="1" applyFill="1" applyBorder="1" applyAlignment="1">
      <alignment horizontal="center" vertical="center" wrapText="1"/>
    </xf>
    <xf numFmtId="0" fontId="0" fillId="44" borderId="1" xfId="0" applyFill="1" applyBorder="1" applyAlignment="1">
      <alignment horizontal="center" vertical="center"/>
    </xf>
    <xf numFmtId="0" fontId="49" fillId="44" borderId="44" xfId="0" applyFont="1" applyFill="1" applyBorder="1" applyAlignment="1">
      <alignment horizontal="center" vertical="center" wrapText="1"/>
    </xf>
    <xf numFmtId="0" fontId="50" fillId="44" borderId="0" xfId="0" applyFont="1" applyFill="1" applyAlignment="1">
      <alignment wrapText="1"/>
    </xf>
    <xf numFmtId="0" fontId="0" fillId="44" borderId="1" xfId="0" applyFill="1" applyBorder="1" applyAlignment="1">
      <alignment horizontal="center" vertical="center" wrapText="1"/>
    </xf>
    <xf numFmtId="14" fontId="0" fillId="44" borderId="1" xfId="0" applyNumberFormat="1" applyFill="1" applyBorder="1" applyAlignment="1">
      <alignment horizontal="center" vertical="center" wrapText="1"/>
    </xf>
    <xf numFmtId="166" fontId="50" fillId="44" borderId="0" xfId="0" applyNumberFormat="1" applyFont="1" applyFill="1" applyAlignment="1">
      <alignment wrapText="1"/>
    </xf>
    <xf numFmtId="0" fontId="50" fillId="44" borderId="0" xfId="0" applyFont="1" applyFill="1" applyAlignment="1">
      <alignment horizontal="left" vertical="center" wrapText="1"/>
    </xf>
    <xf numFmtId="0" fontId="0" fillId="2" borderId="1" xfId="0" applyFill="1" applyBorder="1" applyAlignment="1">
      <alignment horizontal="center" vertical="center" wrapText="1"/>
    </xf>
    <xf numFmtId="0" fontId="39" fillId="0" borderId="72" xfId="0" applyFont="1" applyBorder="1"/>
    <xf numFmtId="0" fontId="39" fillId="5" borderId="11" xfId="0" applyFont="1" applyFill="1" applyBorder="1"/>
    <xf numFmtId="0" fontId="39" fillId="0" borderId="11" xfId="0" applyFont="1" applyBorder="1"/>
    <xf numFmtId="0" fontId="39" fillId="0" borderId="74" xfId="0" applyFont="1" applyBorder="1" applyAlignment="1">
      <alignment horizontal="left" wrapText="1"/>
    </xf>
    <xf numFmtId="0" fontId="39" fillId="0" borderId="75" xfId="0" applyFont="1" applyBorder="1" applyAlignment="1">
      <alignment horizontal="left" wrapText="1"/>
    </xf>
    <xf numFmtId="0" fontId="39" fillId="39" borderId="11" xfId="0" applyFont="1" applyFill="1" applyBorder="1"/>
    <xf numFmtId="0" fontId="39" fillId="0" borderId="74" xfId="0" applyFont="1" applyBorder="1" applyAlignment="1">
      <alignment horizontal="left"/>
    </xf>
    <xf numFmtId="0" fontId="39" fillId="0" borderId="75" xfId="0" applyFont="1" applyBorder="1" applyAlignment="1">
      <alignment horizontal="left"/>
    </xf>
    <xf numFmtId="0" fontId="39" fillId="5" borderId="76" xfId="0" applyFont="1" applyFill="1" applyBorder="1"/>
    <xf numFmtId="0" fontId="49" fillId="20" borderId="44" xfId="0" applyFont="1" applyFill="1" applyBorder="1" applyAlignment="1">
      <alignment horizontal="center" vertical="center" wrapText="1"/>
    </xf>
    <xf numFmtId="0" fontId="50" fillId="0" borderId="34" xfId="0" applyFont="1" applyBorder="1" applyAlignment="1">
      <alignment wrapText="1"/>
    </xf>
    <xf numFmtId="0" fontId="0" fillId="14" borderId="34" xfId="0" applyFill="1" applyBorder="1" applyAlignment="1">
      <alignment horizontal="center" vertical="center" wrapText="1"/>
    </xf>
    <xf numFmtId="14" fontId="0" fillId="14" borderId="34" xfId="0" applyNumberFormat="1" applyFill="1" applyBorder="1" applyAlignment="1">
      <alignment horizontal="center" vertical="center" wrapText="1"/>
    </xf>
    <xf numFmtId="166" fontId="50" fillId="0" borderId="34" xfId="0" applyNumberFormat="1" applyFont="1" applyBorder="1" applyAlignment="1">
      <alignment wrapText="1"/>
    </xf>
    <xf numFmtId="0" fontId="50" fillId="0" borderId="34" xfId="0" applyFont="1" applyBorder="1" applyAlignment="1">
      <alignment horizontal="left" vertical="center" wrapText="1"/>
    </xf>
    <xf numFmtId="0" fontId="5" fillId="20" borderId="34" xfId="0" applyFont="1" applyFill="1" applyBorder="1" applyAlignment="1">
      <alignment horizontal="center"/>
    </xf>
    <xf numFmtId="0" fontId="49" fillId="0" borderId="37" xfId="0" applyFont="1" applyBorder="1" applyAlignment="1">
      <alignment horizontal="center" vertical="center" wrapText="1"/>
    </xf>
    <xf numFmtId="0" fontId="41" fillId="0" borderId="37" xfId="0" applyFont="1" applyBorder="1" applyAlignment="1">
      <alignment horizontal="center" vertical="center" wrapText="1"/>
    </xf>
    <xf numFmtId="0" fontId="41" fillId="0" borderId="77" xfId="0" applyFont="1" applyBorder="1" applyAlignment="1">
      <alignment horizontal="center" vertical="center" wrapText="1"/>
    </xf>
    <xf numFmtId="0" fontId="42" fillId="0" borderId="37" xfId="0" applyFont="1" applyBorder="1" applyAlignment="1">
      <alignment horizontal="center" vertical="center" wrapText="1"/>
    </xf>
    <xf numFmtId="165" fontId="42" fillId="0" borderId="78" xfId="0" applyNumberFormat="1" applyFont="1" applyBorder="1" applyAlignment="1">
      <alignment horizontal="center" vertical="center" wrapText="1"/>
    </xf>
    <xf numFmtId="165" fontId="42" fillId="0" borderId="37" xfId="0" applyNumberFormat="1" applyFont="1" applyBorder="1" applyAlignment="1">
      <alignment horizontal="center" vertical="center" wrapText="1"/>
    </xf>
    <xf numFmtId="164" fontId="41" fillId="0" borderId="37" xfId="0" applyNumberFormat="1" applyFont="1" applyBorder="1" applyAlignment="1">
      <alignment horizontal="center" vertical="center" wrapText="1"/>
    </xf>
    <xf numFmtId="0" fontId="0" fillId="2" borderId="35" xfId="0" applyFill="1" applyBorder="1" applyAlignment="1">
      <alignment horizontal="center" vertical="center"/>
    </xf>
    <xf numFmtId="0" fontId="0" fillId="14" borderId="35" xfId="0" applyFill="1" applyBorder="1" applyAlignment="1">
      <alignment horizontal="center" vertical="center" wrapText="1"/>
    </xf>
    <xf numFmtId="14" fontId="0" fillId="14" borderId="35" xfId="0" applyNumberFormat="1" applyFill="1" applyBorder="1" applyAlignment="1">
      <alignment horizontal="center" vertical="center" wrapText="1"/>
    </xf>
    <xf numFmtId="0" fontId="41" fillId="14" borderId="35" xfId="0" applyFont="1" applyFill="1" applyBorder="1" applyAlignment="1">
      <alignment horizontal="center" vertical="center" wrapText="1"/>
    </xf>
    <xf numFmtId="0" fontId="41" fillId="44" borderId="9" xfId="0" applyFont="1" applyFill="1" applyBorder="1" applyAlignment="1">
      <alignment horizontal="center" vertical="center" wrapText="1"/>
    </xf>
    <xf numFmtId="0" fontId="41" fillId="44" borderId="73" xfId="0" applyFont="1" applyFill="1" applyBorder="1" applyAlignment="1">
      <alignment horizontal="center" vertical="center" wrapText="1"/>
    </xf>
    <xf numFmtId="0" fontId="49" fillId="44" borderId="46" xfId="0" applyFont="1" applyFill="1" applyBorder="1" applyAlignment="1">
      <alignment horizontal="center" vertical="center" wrapText="1"/>
    </xf>
    <xf numFmtId="0" fontId="41" fillId="44" borderId="38" xfId="0" applyFont="1" applyFill="1" applyBorder="1" applyAlignment="1">
      <alignment horizontal="center" vertical="center" wrapText="1"/>
    </xf>
    <xf numFmtId="0" fontId="42" fillId="44" borderId="9" xfId="0" applyFont="1" applyFill="1" applyBorder="1" applyAlignment="1">
      <alignment horizontal="center" vertical="center" wrapText="1"/>
    </xf>
    <xf numFmtId="165" fontId="42" fillId="44" borderId="9" xfId="0" applyNumberFormat="1" applyFont="1" applyFill="1" applyBorder="1" applyAlignment="1">
      <alignment horizontal="center" vertical="center" wrapText="1"/>
    </xf>
    <xf numFmtId="164" fontId="41" fillId="44" borderId="9" xfId="0" applyNumberFormat="1" applyFont="1" applyFill="1" applyBorder="1" applyAlignment="1">
      <alignment horizontal="center" vertical="center" wrapText="1"/>
    </xf>
    <xf numFmtId="0" fontId="0" fillId="2" borderId="9" xfId="0" applyFill="1" applyBorder="1" applyAlignment="1">
      <alignment horizontal="center" vertical="center"/>
    </xf>
    <xf numFmtId="0" fontId="0" fillId="44" borderId="9" xfId="0" applyFill="1" applyBorder="1" applyAlignment="1">
      <alignment horizontal="center" vertical="center"/>
    </xf>
    <xf numFmtId="0" fontId="49" fillId="44" borderId="68" xfId="0" applyFont="1" applyFill="1" applyBorder="1" applyAlignment="1">
      <alignment horizontal="center" vertical="center" wrapText="1"/>
    </xf>
    <xf numFmtId="0" fontId="0" fillId="44" borderId="9" xfId="0" applyFill="1" applyBorder="1" applyAlignment="1">
      <alignment horizontal="center" vertical="center" wrapText="1"/>
    </xf>
    <xf numFmtId="14" fontId="0" fillId="44" borderId="9" xfId="0" applyNumberFormat="1" applyFill="1" applyBorder="1" applyAlignment="1">
      <alignment horizontal="center" vertical="center" wrapText="1"/>
    </xf>
    <xf numFmtId="0" fontId="0" fillId="20" borderId="34" xfId="0" applyFont="1" applyFill="1" applyBorder="1" applyAlignment="1">
      <alignment horizontal="center"/>
    </xf>
    <xf numFmtId="0" fontId="0" fillId="20" borderId="34" xfId="0" applyFill="1" applyBorder="1" applyAlignment="1">
      <alignment horizontal="center" vertical="center"/>
    </xf>
    <xf numFmtId="0" fontId="0" fillId="20" borderId="12" xfId="0" applyFill="1" applyBorder="1" applyAlignment="1">
      <alignment horizontal="left" vertical="top" wrapText="1"/>
    </xf>
    <xf numFmtId="0" fontId="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39" fillId="0" borderId="47" xfId="0" applyFont="1" applyBorder="1" applyAlignment="1">
      <alignment horizontal="left" wrapText="1"/>
    </xf>
    <xf numFmtId="0" fontId="39" fillId="0" borderId="65" xfId="0" applyFont="1" applyBorder="1" applyAlignment="1">
      <alignment horizontal="left" wrapText="1"/>
    </xf>
    <xf numFmtId="0" fontId="26" fillId="0" borderId="31" xfId="0" applyFont="1" applyBorder="1" applyAlignment="1">
      <alignment horizontal="center" vertical="center" wrapText="1" readingOrder="1"/>
    </xf>
    <xf numFmtId="0" fontId="26" fillId="0" borderId="32" xfId="0" applyFont="1" applyBorder="1" applyAlignment="1">
      <alignment horizontal="center" vertical="center" wrapText="1" readingOrder="1"/>
    </xf>
    <xf numFmtId="0" fontId="26" fillId="0" borderId="33" xfId="0" applyFont="1" applyBorder="1" applyAlignment="1">
      <alignment horizontal="center" vertical="center" wrapText="1" readingOrder="1"/>
    </xf>
    <xf numFmtId="0" fontId="0" fillId="7" borderId="0" xfId="0" applyFill="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17" borderId="1" xfId="0" applyFill="1"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5" fillId="20"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0" fillId="20" borderId="10" xfId="0" applyFill="1" applyBorder="1" applyAlignment="1">
      <alignment horizontal="left" vertical="top" wrapText="1"/>
    </xf>
    <xf numFmtId="0" fontId="0" fillId="20" borderId="11" xfId="0" applyFill="1" applyBorder="1" applyAlignment="1">
      <alignment horizontal="left" vertical="top" wrapText="1"/>
    </xf>
    <xf numFmtId="0" fontId="0" fillId="20" borderId="12" xfId="0" applyFill="1" applyBorder="1" applyAlignment="1">
      <alignment horizontal="left" vertical="top" wrapText="1"/>
    </xf>
    <xf numFmtId="0" fontId="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73" xfId="0" applyFont="1" applyFill="1" applyBorder="1" applyAlignment="1">
      <alignment horizontal="center" vertical="center" wrapText="1"/>
    </xf>
    <xf numFmtId="0" fontId="5" fillId="2" borderId="72"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6" borderId="1" xfId="0" applyFont="1" applyFill="1" applyBorder="1" applyAlignment="1"/>
    <xf numFmtId="0" fontId="5" fillId="6" borderId="1" xfId="0" applyFont="1" applyFill="1" applyBorder="1" applyAlignment="1">
      <alignment horizontal="center"/>
    </xf>
    <xf numFmtId="0" fontId="0" fillId="0" borderId="1" xfId="0" applyBorder="1" applyAlignment="1">
      <alignment horizontal="center"/>
    </xf>
    <xf numFmtId="0" fontId="5" fillId="10" borderId="1" xfId="0" applyFont="1" applyFill="1" applyBorder="1" applyAlignment="1">
      <alignment horizontal="center"/>
    </xf>
    <xf numFmtId="0" fontId="0" fillId="10" borderId="1" xfId="0" applyFill="1" applyBorder="1" applyAlignment="1"/>
    <xf numFmtId="0" fontId="5" fillId="11" borderId="1" xfId="0" applyFont="1" applyFill="1" applyBorder="1" applyAlignment="1">
      <alignment horizontal="center"/>
    </xf>
    <xf numFmtId="0" fontId="0" fillId="11" borderId="1" xfId="0" applyFill="1" applyBorder="1" applyAlignment="1"/>
    <xf numFmtId="0" fontId="4" fillId="12" borderId="1" xfId="0" applyFont="1" applyFill="1" applyBorder="1" applyAlignment="1">
      <alignment horizontal="center"/>
    </xf>
    <xf numFmtId="0" fontId="0" fillId="0" borderId="0" xfId="0" applyAlignment="1">
      <alignment horizontal="center" wrapText="1"/>
    </xf>
    <xf numFmtId="0" fontId="39" fillId="0" borderId="63" xfId="0" applyFont="1" applyBorder="1" applyAlignment="1">
      <alignment horizontal="left"/>
    </xf>
    <xf numFmtId="0" fontId="39" fillId="0" borderId="59" xfId="0" applyFont="1" applyBorder="1" applyAlignment="1">
      <alignment horizontal="left"/>
    </xf>
    <xf numFmtId="0" fontId="39" fillId="0" borderId="64" xfId="0" applyFont="1" applyBorder="1" applyAlignment="1">
      <alignment horizontal="left" wrapText="1"/>
    </xf>
    <xf numFmtId="0" fontId="39" fillId="0" borderId="66" xfId="0" applyFont="1" applyBorder="1" applyAlignment="1">
      <alignment horizontal="left" wrapText="1"/>
    </xf>
    <xf numFmtId="1" fontId="39" fillId="0" borderId="35" xfId="0" applyNumberFormat="1" applyFont="1" applyBorder="1" applyAlignment="1">
      <alignment horizontal="right"/>
    </xf>
    <xf numFmtId="1" fontId="39" fillId="0" borderId="9" xfId="0" applyNumberFormat="1" applyFont="1" applyBorder="1" applyAlignment="1">
      <alignment horizontal="right"/>
    </xf>
    <xf numFmtId="0" fontId="39" fillId="0" borderId="35" xfId="0" applyFont="1" applyBorder="1" applyAlignment="1">
      <alignment horizontal="right"/>
    </xf>
    <xf numFmtId="0" fontId="39" fillId="0" borderId="9" xfId="0" applyFont="1" applyBorder="1" applyAlignment="1">
      <alignment horizontal="right"/>
    </xf>
    <xf numFmtId="0" fontId="39" fillId="0" borderId="35" xfId="0" applyFont="1" applyBorder="1" applyAlignment="1">
      <alignment horizontal="left"/>
    </xf>
    <xf numFmtId="0" fontId="39" fillId="0" borderId="9" xfId="0" applyFont="1" applyBorder="1" applyAlignment="1">
      <alignment horizontal="left"/>
    </xf>
    <xf numFmtId="170" fontId="39" fillId="0" borderId="35" xfId="0" applyNumberFormat="1" applyFont="1" applyBorder="1" applyAlignment="1">
      <alignment horizontal="left"/>
    </xf>
    <xf numFmtId="170" fontId="39" fillId="0" borderId="9" xfId="0" applyNumberFormat="1" applyFont="1" applyBorder="1" applyAlignment="1">
      <alignment horizontal="left"/>
    </xf>
    <xf numFmtId="0" fontId="39" fillId="0" borderId="47" xfId="0" applyFont="1" applyBorder="1" applyAlignment="1">
      <alignment horizontal="left" wrapText="1"/>
    </xf>
    <xf numFmtId="0" fontId="39" fillId="0" borderId="47" xfId="0" applyFont="1" applyBorder="1" applyAlignment="1">
      <alignment horizontal="left"/>
    </xf>
    <xf numFmtId="0" fontId="61" fillId="41" borderId="48" xfId="0" applyFont="1" applyFill="1" applyBorder="1" applyAlignment="1">
      <alignment horizontal="center"/>
    </xf>
    <xf numFmtId="0" fontId="61" fillId="41" borderId="49" xfId="0" applyFont="1" applyFill="1" applyBorder="1" applyAlignment="1">
      <alignment horizontal="center"/>
    </xf>
    <xf numFmtId="0" fontId="61" fillId="41" borderId="50" xfId="0" applyFont="1" applyFill="1" applyBorder="1" applyAlignment="1">
      <alignment horizontal="center"/>
    </xf>
    <xf numFmtId="0" fontId="62" fillId="42" borderId="51" xfId="0" applyFont="1" applyFill="1" applyBorder="1" applyAlignment="1">
      <alignment horizontal="center" wrapText="1"/>
    </xf>
    <xf numFmtId="0" fontId="62" fillId="42" borderId="52" xfId="0" applyFont="1" applyFill="1" applyBorder="1" applyAlignment="1">
      <alignment horizontal="center" wrapText="1"/>
    </xf>
    <xf numFmtId="0" fontId="62" fillId="42" borderId="53" xfId="0" applyFont="1" applyFill="1" applyBorder="1" applyAlignment="1">
      <alignment horizontal="center" wrapText="1"/>
    </xf>
    <xf numFmtId="0" fontId="39" fillId="0" borderId="35" xfId="0" applyFont="1" applyBorder="1" applyAlignment="1">
      <alignment horizontal="left" wrapText="1"/>
    </xf>
    <xf numFmtId="0" fontId="39" fillId="0" borderId="9" xfId="0" applyFont="1" applyBorder="1" applyAlignment="1">
      <alignment horizontal="left" wrapText="1"/>
    </xf>
    <xf numFmtId="0" fontId="39" fillId="0" borderId="65" xfId="0" applyFont="1" applyBorder="1" applyAlignment="1">
      <alignment horizontal="left" wrapText="1"/>
    </xf>
    <xf numFmtId="0" fontId="39" fillId="0" borderId="60" xfId="0" applyFont="1" applyBorder="1" applyAlignment="1">
      <alignment horizontal="left" wrapText="1"/>
    </xf>
    <xf numFmtId="170" fontId="39" fillId="0" borderId="35" xfId="0" applyNumberFormat="1" applyFont="1" applyBorder="1" applyAlignment="1">
      <alignment horizontal="left" wrapText="1"/>
    </xf>
    <xf numFmtId="170" fontId="39" fillId="0" borderId="9" xfId="0" applyNumberFormat="1" applyFont="1" applyBorder="1" applyAlignment="1">
      <alignment horizontal="left" wrapText="1"/>
    </xf>
    <xf numFmtId="0" fontId="39" fillId="0" borderId="63" xfId="0" applyFont="1" applyBorder="1" applyAlignment="1">
      <alignment horizontal="left" wrapText="1"/>
    </xf>
    <xf numFmtId="0" fontId="39" fillId="0" borderId="59" xfId="0" applyFont="1" applyBorder="1" applyAlignment="1">
      <alignment horizontal="left" wrapText="1"/>
    </xf>
    <xf numFmtId="1" fontId="39" fillId="0" borderId="35" xfId="0" applyNumberFormat="1" applyFont="1" applyBorder="1" applyAlignment="1">
      <alignment horizontal="right" wrapText="1"/>
    </xf>
    <xf numFmtId="1" fontId="39" fillId="0" borderId="9" xfId="0" applyNumberFormat="1" applyFont="1" applyBorder="1" applyAlignment="1">
      <alignment horizontal="right" wrapText="1"/>
    </xf>
    <xf numFmtId="0" fontId="39" fillId="0" borderId="35" xfId="0" applyFont="1" applyBorder="1" applyAlignment="1">
      <alignment horizontal="right" wrapText="1"/>
    </xf>
    <xf numFmtId="0" fontId="39" fillId="0" borderId="9" xfId="0" applyFont="1" applyBorder="1" applyAlignment="1">
      <alignment horizontal="right" wrapText="1"/>
    </xf>
    <xf numFmtId="0" fontId="47" fillId="0" borderId="0" xfId="0" applyFont="1" applyAlignment="1">
      <alignment horizontal="center"/>
    </xf>
    <xf numFmtId="0" fontId="0" fillId="0" borderId="0" xfId="0" applyAlignment="1">
      <alignment horizontal="center"/>
    </xf>
    <xf numFmtId="0" fontId="26" fillId="0" borderId="31" xfId="0" applyFont="1" applyBorder="1" applyAlignment="1">
      <alignment horizontal="center" vertical="center" wrapText="1" readingOrder="1"/>
    </xf>
    <xf numFmtId="0" fontId="26" fillId="0" borderId="32" xfId="0" applyFont="1" applyBorder="1" applyAlignment="1">
      <alignment horizontal="center" vertical="center" wrapText="1" readingOrder="1"/>
    </xf>
    <xf numFmtId="0" fontId="26" fillId="0" borderId="33" xfId="0" applyFont="1" applyBorder="1" applyAlignment="1">
      <alignment horizontal="center" vertical="center" wrapText="1" readingOrder="1"/>
    </xf>
    <xf numFmtId="0" fontId="0" fillId="7" borderId="0" xfId="0" applyFill="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17" borderId="1" xfId="0" applyFill="1" applyBorder="1" applyAlignment="1">
      <alignment horizontal="center" vertical="center"/>
    </xf>
    <xf numFmtId="0" fontId="16" fillId="22" borderId="2" xfId="0" applyFont="1" applyFill="1" applyBorder="1" applyAlignment="1">
      <alignment horizontal="center" vertical="center"/>
    </xf>
    <xf numFmtId="0" fontId="23" fillId="25" borderId="0" xfId="0" applyFont="1" applyFill="1" applyAlignment="1">
      <alignment horizontal="center" vertical="center" wrapText="1" readingOrder="1"/>
    </xf>
    <xf numFmtId="0" fontId="23" fillId="25" borderId="14" xfId="0" applyFont="1" applyFill="1" applyBorder="1" applyAlignment="1">
      <alignment horizontal="center" vertical="center" wrapText="1" readingOrder="1"/>
    </xf>
    <xf numFmtId="0" fontId="23" fillId="25" borderId="18" xfId="0" applyFont="1" applyFill="1" applyBorder="1" applyAlignment="1">
      <alignment horizontal="center" vertical="center" wrapText="1" readingOrder="1"/>
    </xf>
    <xf numFmtId="0" fontId="23" fillId="25" borderId="20" xfId="0" applyFont="1" applyFill="1" applyBorder="1" applyAlignment="1">
      <alignment horizontal="center" vertical="center" wrapText="1" readingOrder="1"/>
    </xf>
    <xf numFmtId="0" fontId="24" fillId="26" borderId="15" xfId="0" applyFont="1" applyFill="1" applyBorder="1" applyAlignment="1">
      <alignment horizontal="center" vertical="center" wrapText="1" readingOrder="1"/>
    </xf>
    <xf numFmtId="0" fontId="24" fillId="26" borderId="16" xfId="0" applyFont="1" applyFill="1" applyBorder="1" applyAlignment="1">
      <alignment horizontal="center" vertical="center" wrapText="1" readingOrder="1"/>
    </xf>
    <xf numFmtId="0" fontId="24" fillId="26" borderId="30" xfId="0" applyFont="1" applyFill="1" applyBorder="1" applyAlignment="1">
      <alignment horizontal="center" vertical="center" wrapText="1" readingOrder="1"/>
    </xf>
    <xf numFmtId="0" fontId="24" fillId="27" borderId="29" xfId="0" applyFont="1" applyFill="1" applyBorder="1" applyAlignment="1">
      <alignment horizontal="center" vertical="center" wrapText="1" readingOrder="1"/>
    </xf>
    <xf numFmtId="0" fontId="24" fillId="27" borderId="23" xfId="0" applyFont="1" applyFill="1" applyBorder="1" applyAlignment="1">
      <alignment horizontal="center" vertical="center" wrapText="1" readingOrder="1"/>
    </xf>
    <xf numFmtId="0" fontId="24" fillId="27" borderId="24" xfId="0" applyFont="1" applyFill="1" applyBorder="1" applyAlignment="1">
      <alignment horizontal="center" vertical="center" wrapText="1" readingOrder="1"/>
    </xf>
    <xf numFmtId="0" fontId="24" fillId="26" borderId="21" xfId="0" applyFont="1" applyFill="1" applyBorder="1" applyAlignment="1">
      <alignment horizontal="center" vertical="center" wrapText="1" readingOrder="1"/>
    </xf>
    <xf numFmtId="0" fontId="24" fillId="27" borderId="25" xfId="0" applyFont="1" applyFill="1" applyBorder="1" applyAlignment="1">
      <alignment horizontal="center" vertical="center" wrapText="1" readingOrder="1"/>
    </xf>
    <xf numFmtId="0" fontId="24" fillId="27" borderId="26" xfId="0" applyFont="1" applyFill="1" applyBorder="1" applyAlignment="1">
      <alignment horizontal="center" vertical="center" wrapText="1" readingOrder="1"/>
    </xf>
    <xf numFmtId="0" fontId="24" fillId="27" borderId="28" xfId="0" applyFont="1" applyFill="1" applyBorder="1" applyAlignment="1">
      <alignment horizontal="center" vertical="center" wrapText="1" readingOrder="1"/>
    </xf>
    <xf numFmtId="0" fontId="24" fillId="27" borderId="27" xfId="0" applyFont="1" applyFill="1" applyBorder="1" applyAlignment="1">
      <alignment horizontal="center" vertical="center" wrapText="1" readingOrder="1"/>
    </xf>
    <xf numFmtId="0" fontId="23" fillId="25" borderId="22" xfId="0" applyFont="1" applyFill="1" applyBorder="1" applyAlignment="1">
      <alignment horizontal="center" vertical="center" wrapText="1" readingOrder="1"/>
    </xf>
    <xf numFmtId="0" fontId="23" fillId="25" borderId="23" xfId="0" applyFont="1" applyFill="1" applyBorder="1" applyAlignment="1">
      <alignment horizontal="center" vertical="center" wrapText="1" readingOrder="1"/>
    </xf>
    <xf numFmtId="0" fontId="23" fillId="25" borderId="24" xfId="0" applyFont="1" applyFill="1" applyBorder="1" applyAlignment="1">
      <alignment horizontal="center" vertical="center" wrapText="1" readingOrder="1"/>
    </xf>
    <xf numFmtId="0" fontId="23" fillId="25" borderId="13" xfId="0" applyFont="1" applyFill="1" applyBorder="1" applyAlignment="1">
      <alignment horizontal="center" vertical="center" wrapText="1" readingOrder="1"/>
    </xf>
    <xf numFmtId="0" fontId="24" fillId="26" borderId="22" xfId="0" applyFont="1" applyFill="1" applyBorder="1" applyAlignment="1">
      <alignment horizontal="center" vertical="center" wrapText="1" readingOrder="1"/>
    </xf>
    <xf numFmtId="0" fontId="24" fillId="26" borderId="23" xfId="0" applyFont="1" applyFill="1" applyBorder="1" applyAlignment="1">
      <alignment horizontal="center" vertical="center" wrapText="1" readingOrder="1"/>
    </xf>
    <xf numFmtId="0" fontId="24" fillId="26" borderId="24" xfId="0" applyFont="1" applyFill="1" applyBorder="1" applyAlignment="1">
      <alignment horizontal="center" vertical="center" wrapText="1" readingOrder="1"/>
    </xf>
    <xf numFmtId="0" fontId="24" fillId="27" borderId="13" xfId="0" applyFont="1" applyFill="1" applyBorder="1" applyAlignment="1">
      <alignment horizontal="center" vertical="center" wrapText="1" readingOrder="1"/>
    </xf>
    <xf numFmtId="0" fontId="16" fillId="22" borderId="3" xfId="0" applyFont="1" applyFill="1" applyBorder="1" applyAlignment="1">
      <alignment horizontal="center" vertical="center"/>
    </xf>
    <xf numFmtId="0" fontId="16" fillId="22" borderId="4" xfId="0" applyFont="1" applyFill="1" applyBorder="1" applyAlignment="1">
      <alignment horizontal="center" vertical="center"/>
    </xf>
    <xf numFmtId="0" fontId="16" fillId="22" borderId="5" xfId="0" applyFont="1" applyFill="1" applyBorder="1" applyAlignment="1">
      <alignment horizontal="center" vertical="center"/>
    </xf>
    <xf numFmtId="0" fontId="16" fillId="22" borderId="6" xfId="0" applyFont="1" applyFill="1" applyBorder="1" applyAlignment="1">
      <alignment horizontal="center" vertical="center"/>
    </xf>
    <xf numFmtId="0" fontId="16" fillId="22" borderId="7" xfId="0" applyFont="1" applyFill="1" applyBorder="1" applyAlignment="1">
      <alignment horizontal="center" vertical="center"/>
    </xf>
    <xf numFmtId="0" fontId="16" fillId="22" borderId="8" xfId="0" applyFont="1" applyFill="1" applyBorder="1" applyAlignment="1">
      <alignment horizontal="center" vertical="center"/>
    </xf>
    <xf numFmtId="0" fontId="24" fillId="26" borderId="13" xfId="0" applyFont="1" applyFill="1" applyBorder="1" applyAlignment="1">
      <alignment horizontal="center" vertical="center" wrapText="1" readingOrder="1"/>
    </xf>
    <xf numFmtId="0" fontId="26" fillId="2" borderId="0" xfId="0" applyFont="1" applyFill="1" applyAlignment="1">
      <alignment horizontal="center" vertical="center" wrapText="1" readingOrder="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64" fillId="0" borderId="10" xfId="0" applyFont="1" applyBorder="1" applyAlignment="1">
      <alignment horizontal="left" vertical="center" wrapText="1"/>
    </xf>
    <xf numFmtId="0" fontId="64" fillId="0" borderId="11" xfId="0" applyFont="1" applyBorder="1" applyAlignment="1">
      <alignment horizontal="left" vertical="center" wrapText="1"/>
    </xf>
    <xf numFmtId="0" fontId="64" fillId="0" borderId="12" xfId="0" applyFont="1" applyBorder="1" applyAlignment="1">
      <alignment horizontal="left" vertical="center" wrapText="1"/>
    </xf>
    <xf numFmtId="0" fontId="5" fillId="20" borderId="1" xfId="0" applyFont="1" applyFill="1" applyBorder="1" applyAlignment="1">
      <alignment horizontal="center" vertical="center" wrapText="1"/>
    </xf>
    <xf numFmtId="0" fontId="48" fillId="0" borderId="1"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FF3300"/>
      <color rgb="FFFF99FF"/>
      <color rgb="FFFF66FF"/>
      <color rgb="FF0099FF"/>
      <color rgb="FF99CCFF"/>
      <color rgb="FF000099"/>
      <color rgb="FF0066FF"/>
      <color rgb="FFBF95DF"/>
      <color rgb="FFFF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VIKRAM DESHPANDE" id="{BB7BD713-6EEC-4585-8F91-D7A60E7FCB55}" userId="VIKRAM DESHPANDE" providerId="None"/>
  <person displayName="SUSAN JOHN" id="{E92D4481-067D-45B0-BE53-E81C221E3B84}" userId="S::susanj@sg.ibm.com::b0c62110-20ef-4509-bbbe-4c3e535a7ca1" providerId="AD"/>
  <person displayName="Ollichelle Flores" id="{CA9E769E-06A5-4F57-A77B-9B4431F60CE6}" userId="S::9floreor@ph.ibm.com::3291af9e-9072-4185-ad25-d41a89a6914b" providerId="AD"/>
  <person displayName="Shelly Hopper" id="{06B60A3E-0805-4577-9764-D92AA158C0C4}" userId="S::smhopper@ca.ibm.com::d693af11-031a-41a7-b7f9-aa3953ded368" providerId="AD"/>
  <person displayName="NINO DAN MERCADO" id="{AAE72B2D-B0C7-4CEC-898D-819D69DE72E4}" userId="S::Dan.Mercado@ph.ibm.com::4471fc52-481f-45b2-bbf6-faf2a49a93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 dT="2020-05-21T09:25:00.16" personId="{AAE72B2D-B0C7-4CEC-898D-819D69DE72E4}" id="{4C172262-11B1-4C99-B115-AA54691C62CA}">
    <text>Class Code generated while setting up the class in CRC, same as Instance Number</text>
  </threadedComment>
  <threadedComment ref="H11" dT="2020-03-23T07:01:08.40" personId="{BB7BD713-6EEC-4585-8F91-D7A60E7FCB55}" id="{20553FB8-D113-4599-92FF-E1EEC931C307}">
    <text>Subject to normalcy of COVID-19 situation</text>
  </threadedComment>
  <threadedComment ref="D177" dT="2020-06-29T10:21:03.51" personId="{AAE72B2D-B0C7-4CEC-898D-819D69DE72E4}" id="{CD1B5D1E-56D8-46E4-9009-A93B3A53B03A}">
    <text>Copy pasted from TerriAnne's email</text>
  </threadedComment>
  <threadedComment ref="G377" dT="2020-05-06T12:43:38.66" personId="{E92D4481-067D-45B0-BE53-E81C221E3B84}" id="{EDD0656A-736C-4D53-8061-5D340BD9D519}">
    <text>defered from June</text>
  </threadedComment>
  <threadedComment ref="G378" dT="2020-05-06T12:43:48.34" personId="{E92D4481-067D-45B0-BE53-E81C221E3B84}" id="{7650FA70-2C66-4DEA-805A-56B54CE193D5}">
    <text>defered from June</text>
  </threadedComment>
  <threadedComment ref="R427" dT="2020-02-06T09:16:25.90" personId="{AAE72B2D-B0C7-4CEC-898D-819D69DE72E4}" id="{FCE2BA9F-BD46-44CF-B7F3-99E134BF6DF8}">
    <text>Shelly Hopper - Pilot</text>
  </threadedComment>
  <threadedComment ref="D428" dT="2020-06-15T13:13:06.30" personId="{06B60A3E-0805-4577-9764-D92AA158C0C4}" id="{1C33C029-EFD8-4ABB-9882-4FCCA51DFB4C}">
    <text>For March, NA did not create one 'umbrella' course code</text>
  </threadedComment>
  <threadedComment ref="G430" dT="2020-05-06T12:38:53.81" personId="{E92D4481-067D-45B0-BE53-E81C221E3B84}" id="{F60A5D3F-1429-4C42-8702-CBA201887699}">
    <text>defered from June</text>
  </threadedComment>
  <threadedComment ref="R445" dT="2020-02-06T09:16:17.05" personId="{AAE72B2D-B0C7-4CEC-898D-819D69DE72E4}" id="{D6F182B0-C65F-4989-983F-08C9175D01B5}">
    <text>Pilot - Mike G.</text>
  </threadedComment>
  <threadedComment ref="G447" dT="2020-05-06T12:39:11.09" personId="{E92D4481-067D-45B0-BE53-E81C221E3B84}" id="{D49A11D1-43A8-4533-ADCA-31969F900902}">
    <text>defered from June</text>
  </threadedComment>
  <threadedComment ref="M501" dT="2020-05-12T06:48:25.82" personId="{CA9E769E-06A5-4F57-A77B-9B4431F60CE6}" id="{C74AD069-9F87-4DBF-B09C-7BE5C68FB9AB}">
    <text>On Planning</text>
  </threadedComment>
  <threadedComment ref="M501" dT="2020-07-08T07:45:00.32" personId="{AAE72B2D-B0C7-4CEC-898D-819D69DE72E4}" id="{C21D5C5E-34BA-452D-A84F-6CAAA4F390E0}" parentId="{C74AD069-9F87-4DBF-B09C-7BE5C68FB9AB}">
    <text>EDT</text>
  </threadedComment>
  <threadedComment ref="N501" dT="2020-07-08T07:45:38.11" personId="{AAE72B2D-B0C7-4CEC-898D-819D69DE72E4}" id="{20A214F0-5D2E-3B4A-BA48-8EFCFE6E53EA}">
    <text>AGILE</text>
  </threadedComment>
  <threadedComment ref="O501" dT="2020-07-08T07:45:38.11" personId="{AAE72B2D-B0C7-4CEC-898D-819D69DE72E4}" id="{C3663755-CF2B-4F21-AE29-887ECD26E628}">
    <text>AGILE</text>
  </threadedComment>
  <threadedComment ref="P501" dT="2020-07-08T07:45:38.11" personId="{AAE72B2D-B0C7-4CEC-898D-819D69DE72E4}" id="{E4A9A443-2980-43C4-A1B9-80AB661EE6AC}">
    <text>AGILE</text>
  </threadedComment>
  <threadedComment ref="M502" dT="2020-05-12T06:48:25.82" personId="{CA9E769E-06A5-4F57-A77B-9B4431F60CE6}" id="{C6010639-D12F-0646-A46B-79F830EFE34B}">
    <text>On Planning</text>
  </threadedComment>
  <threadedComment ref="M502" dT="2020-07-08T07:45:00.32" personId="{AAE72B2D-B0C7-4CEC-898D-819D69DE72E4}" id="{98F24309-441E-634A-BF07-F4C7A2885CDD}" parentId="{C6010639-D12F-0646-A46B-79F830EFE34B}">
    <text>EDT</text>
  </threadedComment>
  <threadedComment ref="N502" dT="2020-07-08T07:45:38.11" personId="{AAE72B2D-B0C7-4CEC-898D-819D69DE72E4}" id="{11F42C26-7009-234A-AD23-D944BF5265FF}">
    <text>AGILE</text>
  </threadedComment>
  <threadedComment ref="O502" dT="2020-07-08T07:45:38.11" personId="{AAE72B2D-B0C7-4CEC-898D-819D69DE72E4}" id="{652740E8-935F-4DD7-A90C-20B02079C98E}">
    <text>AGILE</text>
  </threadedComment>
  <threadedComment ref="P502" dT="2020-07-08T07:45:38.11" personId="{AAE72B2D-B0C7-4CEC-898D-819D69DE72E4}" id="{2A6C3EA6-D12E-2A48-ABD7-43D4D833AE33}">
    <text>AGILE</text>
  </threadedComment>
  <threadedComment ref="M503" dT="2020-05-12T06:48:25.82" personId="{CA9E769E-06A5-4F57-A77B-9B4431F60CE6}" id="{F616F2E9-ABD7-9143-A001-546A37DC2873}">
    <text>On Planning</text>
  </threadedComment>
  <threadedComment ref="M503" dT="2020-07-08T07:45:00.32" personId="{AAE72B2D-B0C7-4CEC-898D-819D69DE72E4}" id="{EC88AEE0-206F-824F-A997-A0FDABB09227}" parentId="{F616F2E9-ABD7-9143-A001-546A37DC2873}">
    <text>EDT</text>
  </threadedComment>
  <threadedComment ref="N503" dT="2020-07-08T07:45:38.11" personId="{AAE72B2D-B0C7-4CEC-898D-819D69DE72E4}" id="{7B398C22-14FC-9646-96EF-3660A978C2B3}">
    <text>AGILE</text>
  </threadedComment>
  <threadedComment ref="O503" dT="2020-07-08T07:45:38.11" personId="{AAE72B2D-B0C7-4CEC-898D-819D69DE72E4}" id="{69E2DE49-8975-4D92-A7AC-3384E15CECE0}">
    <text>AGILE</text>
  </threadedComment>
  <threadedComment ref="P503" dT="2020-07-08T07:45:38.11" personId="{AAE72B2D-B0C7-4CEC-898D-819D69DE72E4}" id="{7E7EC791-BE04-7445-AA3F-65F341280354}">
    <text>AGILE</text>
  </threadedComment>
  <threadedComment ref="M504" dT="2020-05-12T06:48:25.82" personId="{CA9E769E-06A5-4F57-A77B-9B4431F60CE6}" id="{5B43440F-2682-9E43-905B-3030FCD72B25}">
    <text>On Planning</text>
  </threadedComment>
  <threadedComment ref="M504" dT="2020-07-08T07:45:00.32" personId="{AAE72B2D-B0C7-4CEC-898D-819D69DE72E4}" id="{9129BC35-5E8C-7F43-85E9-9F8D1B48FDF8}" parentId="{5B43440F-2682-9E43-905B-3030FCD72B25}">
    <text>EDT</text>
  </threadedComment>
  <threadedComment ref="N504" dT="2020-07-08T07:45:38.11" personId="{AAE72B2D-B0C7-4CEC-898D-819D69DE72E4}" id="{9110F244-A02A-E948-8FD9-A85231168206}">
    <text>AGILE</text>
  </threadedComment>
  <threadedComment ref="O504" dT="2020-07-08T07:45:38.11" personId="{AAE72B2D-B0C7-4CEC-898D-819D69DE72E4}" id="{5A683FDC-0F42-47D1-B15E-ABC71124B0FC}">
    <text>AGILE</text>
  </threadedComment>
  <threadedComment ref="P504" dT="2020-07-08T07:45:38.11" personId="{AAE72B2D-B0C7-4CEC-898D-819D69DE72E4}" id="{64D599A9-808E-6544-86C1-8718B508F4F2}">
    <text>AGILE</text>
  </threadedComment>
  <threadedComment ref="M505" dT="2020-05-12T06:48:25.82" personId="{CA9E769E-06A5-4F57-A77B-9B4431F60CE6}" id="{D9143E40-9564-E94A-8A8E-777CE993CB42}">
    <text>On Planning</text>
  </threadedComment>
  <threadedComment ref="M505" dT="2020-07-08T07:45:00.32" personId="{AAE72B2D-B0C7-4CEC-898D-819D69DE72E4}" id="{E9CC90B9-2C20-E941-85C8-BE3B04BC01B6}" parentId="{D9143E40-9564-E94A-8A8E-777CE993CB42}">
    <text>EDT</text>
  </threadedComment>
  <threadedComment ref="N505" dT="2020-07-08T07:45:38.11" personId="{AAE72B2D-B0C7-4CEC-898D-819D69DE72E4}" id="{256E58F3-50A9-0346-ABE9-6E49E2F590F1}">
    <text>AGILE</text>
  </threadedComment>
  <threadedComment ref="O505" dT="2020-07-08T07:45:38.11" personId="{AAE72B2D-B0C7-4CEC-898D-819D69DE72E4}" id="{81AE3AAD-C1BD-460D-AA69-BA55B453617C}">
    <text>AGILE</text>
  </threadedComment>
  <threadedComment ref="P505" dT="2020-07-08T07:45:38.11" personId="{AAE72B2D-B0C7-4CEC-898D-819D69DE72E4}" id="{225DCBE1-DECC-6E4E-A140-0E689513C1AE}">
    <text>AGILE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0-05-21T09:25:00.16" personId="{AAE72B2D-B0C7-4CEC-898D-819D69DE72E4}" id="{145251C0-6AC6-4A43-BF10-0ABDAD318AA9}">
    <text>Class Code generated while setting up the class in CRC, same as Instance Number</text>
  </threadedComment>
  <threadedComment ref="B3" dT="2020-05-21T09:25:00.16" personId="{AAE72B2D-B0C7-4CEC-898D-819D69DE72E4}" id="{17714357-1D83-47EA-AF84-B689C8F71EC7}">
    <text>Class Code generated while setting up the class in CRC, same as Instance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G542"/>
  <sheetViews>
    <sheetView tabSelected="1" topLeftCell="B1" zoomScale="80" zoomScaleNormal="80" workbookViewId="0">
      <pane xSplit="1" ySplit="2" topLeftCell="C3" activePane="bottomRight" state="frozen"/>
      <selection pane="topRight" activeCell="C2" sqref="C2"/>
      <selection pane="bottomLeft" activeCell="B3" sqref="B3"/>
      <selection pane="bottomRight" activeCell="B1" sqref="A1:XFD1048576"/>
    </sheetView>
  </sheetViews>
  <sheetFormatPr defaultColWidth="9.453125" defaultRowHeight="14.5"/>
  <cols>
    <col min="1" max="1" width="31.453125" style="338" bestFit="1" customWidth="1"/>
    <col min="2" max="2" width="51.453125" style="338" bestFit="1" customWidth="1"/>
    <col min="3" max="3" width="49.1796875" style="338" bestFit="1" customWidth="1"/>
    <col min="4" max="4" width="48.1796875" style="338" bestFit="1" customWidth="1"/>
    <col min="5" max="5" width="15.81640625" style="338" customWidth="1"/>
    <col min="6" max="6" width="20.81640625" style="337" customWidth="1"/>
    <col min="7" max="7" width="19.453125" style="338" customWidth="1"/>
    <col min="8" max="8" width="23.453125" style="339" customWidth="1"/>
    <col min="9" max="9" width="19.453125" style="337" customWidth="1"/>
    <col min="10" max="10" width="16.453125" style="339" customWidth="1"/>
    <col min="11" max="11" width="24.453125" style="337" customWidth="1"/>
    <col min="12" max="12" width="19.453125" style="337" customWidth="1"/>
    <col min="13" max="13" width="25.453125" style="337" customWidth="1"/>
    <col min="14" max="14" width="19.81640625" style="337" customWidth="1"/>
    <col min="15" max="15" width="14.453125" style="337" customWidth="1"/>
    <col min="16" max="16" width="18.453125" style="337" customWidth="1"/>
    <col min="17" max="17" width="10.453125" style="338" customWidth="1"/>
    <col min="18" max="18" width="51.453125" style="338" bestFit="1" customWidth="1"/>
    <col min="19" max="19" width="16.453125" style="338" customWidth="1"/>
    <col min="20" max="20" width="17.453125" style="338" customWidth="1"/>
    <col min="21" max="21" width="15.453125" style="337" customWidth="1"/>
    <col min="22" max="22" width="15.453125" style="340" customWidth="1"/>
    <col min="23" max="25" width="15.453125" style="338" customWidth="1"/>
    <col min="26" max="26" width="17.453125" style="338" customWidth="1"/>
    <col min="27" max="27" width="20.453125" style="338" customWidth="1"/>
    <col min="28" max="28" width="18.453125" style="338" customWidth="1"/>
    <col min="29" max="29" width="19.453125" style="338" customWidth="1"/>
    <col min="30" max="37" width="15.453125" style="338" customWidth="1"/>
    <col min="38" max="38" width="35.453125" style="341" customWidth="1"/>
    <col min="39" max="39" width="46.453125" style="338" customWidth="1"/>
    <col min="40" max="40" width="20.453125" style="338" customWidth="1"/>
    <col min="41" max="41" width="9.453125" style="338"/>
    <col min="42" max="42" width="9.453125" style="338" customWidth="1"/>
    <col min="43" max="43" width="9.1796875" style="338" customWidth="1"/>
    <col min="44" max="49" width="9.453125" style="12" hidden="1" customWidth="1"/>
    <col min="50" max="51" width="10.453125" style="12" hidden="1" customWidth="1"/>
    <col min="52" max="52" width="17.453125" style="97" hidden="1" customWidth="1"/>
    <col min="53" max="53" width="9.453125" style="12" hidden="1" customWidth="1"/>
    <col min="54" max="54" width="10.453125" style="12" hidden="1" customWidth="1"/>
    <col min="55" max="57" width="9.453125" style="12" hidden="1" customWidth="1"/>
    <col min="58" max="58" width="9.453125" style="338" customWidth="1"/>
    <col min="59" max="16384" width="9.453125" style="338"/>
  </cols>
  <sheetData>
    <row r="1" spans="1:58">
      <c r="A1" s="332"/>
      <c r="B1" s="333" t="s">
        <v>0</v>
      </c>
      <c r="C1" s="334" t="s">
        <v>1</v>
      </c>
      <c r="D1" s="335" t="s">
        <v>2</v>
      </c>
      <c r="E1" s="336" t="s">
        <v>3</v>
      </c>
      <c r="AR1" s="485"/>
      <c r="AS1" s="485"/>
      <c r="AT1" s="485"/>
      <c r="AU1" s="485"/>
      <c r="AV1" s="485"/>
      <c r="AW1" s="485"/>
      <c r="AX1" s="485"/>
      <c r="AY1" s="485"/>
      <c r="BA1" s="485"/>
      <c r="BB1" s="485"/>
      <c r="BC1" s="485"/>
      <c r="BD1" s="485"/>
      <c r="BE1" s="485"/>
    </row>
    <row r="2" spans="1:58" s="374" customFormat="1" ht="93" customHeight="1">
      <c r="A2" s="375" t="s">
        <v>4</v>
      </c>
      <c r="B2" s="376" t="s">
        <v>5</v>
      </c>
      <c r="C2" s="376" t="s">
        <v>6</v>
      </c>
      <c r="D2" s="377" t="s">
        <v>7</v>
      </c>
      <c r="E2" s="376" t="s">
        <v>8</v>
      </c>
      <c r="F2" s="377" t="s">
        <v>9</v>
      </c>
      <c r="G2" s="377" t="s">
        <v>10</v>
      </c>
      <c r="H2" s="378" t="s">
        <v>11</v>
      </c>
      <c r="I2" s="376" t="s">
        <v>12</v>
      </c>
      <c r="J2" s="378" t="s">
        <v>13</v>
      </c>
      <c r="K2" s="376" t="s">
        <v>14</v>
      </c>
      <c r="L2" s="376" t="s">
        <v>15</v>
      </c>
      <c r="M2" s="376" t="s">
        <v>16</v>
      </c>
      <c r="N2" s="376" t="s">
        <v>17</v>
      </c>
      <c r="O2" s="376" t="s">
        <v>18</v>
      </c>
      <c r="P2" s="376" t="s">
        <v>19</v>
      </c>
      <c r="Q2" s="379" t="s">
        <v>20</v>
      </c>
      <c r="R2" s="377" t="s">
        <v>21</v>
      </c>
      <c r="S2" s="376" t="s">
        <v>22</v>
      </c>
      <c r="T2" s="376" t="s">
        <v>23</v>
      </c>
      <c r="U2" s="377" t="s">
        <v>24</v>
      </c>
      <c r="V2" s="377" t="s">
        <v>25</v>
      </c>
      <c r="W2" s="376" t="s">
        <v>26</v>
      </c>
      <c r="X2" s="376" t="s">
        <v>27</v>
      </c>
      <c r="Y2" s="376" t="s">
        <v>28</v>
      </c>
      <c r="Z2" s="377" t="s">
        <v>29</v>
      </c>
      <c r="AA2" s="376" t="s">
        <v>30</v>
      </c>
      <c r="AB2" s="376" t="s">
        <v>31</v>
      </c>
      <c r="AC2" s="376" t="s">
        <v>32</v>
      </c>
      <c r="AD2" s="376" t="s">
        <v>33</v>
      </c>
      <c r="AE2" s="376" t="s">
        <v>34</v>
      </c>
      <c r="AF2" s="376" t="s">
        <v>35</v>
      </c>
      <c r="AG2" s="377" t="s">
        <v>36</v>
      </c>
      <c r="AH2" s="377" t="s">
        <v>37</v>
      </c>
      <c r="AI2" s="376" t="s">
        <v>38</v>
      </c>
      <c r="AJ2" s="376" t="s">
        <v>39</v>
      </c>
      <c r="AK2" s="376" t="s">
        <v>40</v>
      </c>
      <c r="AL2" s="377" t="s">
        <v>41</v>
      </c>
      <c r="AM2" s="379" t="s">
        <v>42</v>
      </c>
      <c r="AN2" s="374" t="s">
        <v>43</v>
      </c>
      <c r="AR2" s="372"/>
      <c r="AS2" s="372"/>
      <c r="AT2" s="372"/>
      <c r="AU2" s="489"/>
      <c r="AV2" s="490"/>
      <c r="AW2" s="490"/>
      <c r="AX2" s="491"/>
      <c r="AY2" s="470"/>
      <c r="AZ2" s="373"/>
      <c r="BA2" s="372"/>
      <c r="BB2" s="372"/>
      <c r="BC2" s="372"/>
      <c r="BD2" s="372"/>
    </row>
    <row r="3" spans="1:58" s="136" customFormat="1" ht="154">
      <c r="A3" s="127" t="s">
        <v>44</v>
      </c>
      <c r="B3" s="129" t="s">
        <v>45</v>
      </c>
      <c r="C3" s="130"/>
      <c r="D3" s="131">
        <v>10041142</v>
      </c>
      <c r="E3" s="130"/>
      <c r="F3" s="131" t="s">
        <v>46</v>
      </c>
      <c r="G3" s="132">
        <v>43843</v>
      </c>
      <c r="H3" s="133">
        <v>43844</v>
      </c>
      <c r="I3" s="132">
        <v>43850</v>
      </c>
      <c r="J3" s="133">
        <v>43851</v>
      </c>
      <c r="K3" s="132">
        <v>43892</v>
      </c>
      <c r="L3" s="132" t="s">
        <v>47</v>
      </c>
      <c r="M3" s="132" t="s">
        <v>48</v>
      </c>
      <c r="N3" s="132" t="s">
        <v>48</v>
      </c>
      <c r="O3" s="132"/>
      <c r="P3" s="132"/>
      <c r="Q3" s="134" t="s">
        <v>49</v>
      </c>
      <c r="R3" s="134" t="s">
        <v>50</v>
      </c>
      <c r="S3" s="134">
        <f t="shared" ref="S3:S34" si="0">U3+V3</f>
        <v>116</v>
      </c>
      <c r="T3" s="134">
        <v>116</v>
      </c>
      <c r="U3" s="134">
        <v>0</v>
      </c>
      <c r="V3" s="134">
        <v>116</v>
      </c>
      <c r="W3" s="134"/>
      <c r="X3" s="134" t="s">
        <v>51</v>
      </c>
      <c r="Y3" s="134"/>
      <c r="Z3" s="134" t="s">
        <v>52</v>
      </c>
      <c r="AA3" s="134" t="s">
        <v>53</v>
      </c>
      <c r="AB3" s="134" t="s">
        <v>52</v>
      </c>
      <c r="AC3" s="134" t="s">
        <v>48</v>
      </c>
      <c r="AD3" s="134" t="s">
        <v>52</v>
      </c>
      <c r="AE3" s="134" t="s">
        <v>54</v>
      </c>
      <c r="AF3" s="134" t="s">
        <v>54</v>
      </c>
      <c r="AG3" s="134" t="s">
        <v>55</v>
      </c>
      <c r="AH3" s="134" t="s">
        <v>56</v>
      </c>
      <c r="AI3" s="134" t="s">
        <v>48</v>
      </c>
      <c r="AJ3" s="134"/>
      <c r="AK3" s="134"/>
      <c r="AL3" s="134" t="s">
        <v>57</v>
      </c>
      <c r="AM3" s="134"/>
      <c r="AN3" s="134" t="s">
        <v>58</v>
      </c>
      <c r="AO3" s="472"/>
      <c r="AP3" s="472"/>
      <c r="AQ3" s="472"/>
      <c r="AR3" s="135">
        <f>COUNTIF(B:B,B3)</f>
        <v>1</v>
      </c>
      <c r="AS3" s="135" t="str">
        <f t="shared" ref="AS3" si="1">IFERROR(RIGHT(B3,16-SEARCH("_", B3)),0)</f>
        <v>2020_01_14_a</v>
      </c>
      <c r="AU3" s="135" t="str">
        <f t="shared" ref="AU3" si="2">LEFT(AS3,4)</f>
        <v>2020</v>
      </c>
      <c r="AV3" s="135" t="str">
        <f t="shared" ref="AV3" si="3">MID(AS3,6,2)</f>
        <v>01</v>
      </c>
      <c r="AW3" s="135" t="str">
        <f t="shared" ref="AW3" si="4">MID(AS3,9,2)</f>
        <v>14</v>
      </c>
      <c r="AX3" s="135">
        <f t="shared" ref="AX3" si="5">IFERROR(DATE(AU3,AV3,AW3)," ")</f>
        <v>43844</v>
      </c>
      <c r="AY3" s="137"/>
      <c r="AZ3" s="138">
        <f t="shared" ref="AZ3" si="6">H3</f>
        <v>43844</v>
      </c>
      <c r="BA3" s="135" t="b">
        <f t="shared" ref="BA3" si="7">IF(AX3=" "," ",AX3=AZ3)</f>
        <v>1</v>
      </c>
      <c r="BB3" s="135">
        <f t="shared" ref="BB3" si="8">IF(BC3="YES"," ",AZ3)</f>
        <v>43844</v>
      </c>
      <c r="BC3" s="135" t="str">
        <f t="shared" ref="BC3" si="9">IF(AM3="Apprentice","yes","no")</f>
        <v>no</v>
      </c>
      <c r="BD3" s="135" t="b">
        <f t="shared" ref="BD3" si="10">IF(OR(U3&lt;&gt;"0", V3&lt;&gt;"0"),U3=V3," ")</f>
        <v>0</v>
      </c>
      <c r="BE3" s="139" t="s">
        <v>59</v>
      </c>
    </row>
    <row r="4" spans="1:58" s="136" customFormat="1" ht="154">
      <c r="A4" s="127" t="s">
        <v>60</v>
      </c>
      <c r="B4" s="129" t="s">
        <v>61</v>
      </c>
      <c r="C4" s="130"/>
      <c r="D4" s="131">
        <v>10021394</v>
      </c>
      <c r="E4" s="130"/>
      <c r="F4" s="131" t="s">
        <v>46</v>
      </c>
      <c r="G4" s="132">
        <v>43852</v>
      </c>
      <c r="H4" s="133">
        <v>43852</v>
      </c>
      <c r="I4" s="132">
        <v>43859</v>
      </c>
      <c r="J4" s="133">
        <v>43860</v>
      </c>
      <c r="K4" s="132">
        <v>43903</v>
      </c>
      <c r="L4" s="132">
        <v>43906</v>
      </c>
      <c r="M4" s="132" t="s">
        <v>48</v>
      </c>
      <c r="N4" s="132" t="s">
        <v>48</v>
      </c>
      <c r="O4" s="132"/>
      <c r="P4" s="132"/>
      <c r="Q4" s="134" t="s">
        <v>49</v>
      </c>
      <c r="R4" s="134" t="s">
        <v>50</v>
      </c>
      <c r="S4" s="134">
        <f>U4+V4</f>
        <v>12</v>
      </c>
      <c r="T4" s="134">
        <v>12</v>
      </c>
      <c r="U4" s="134">
        <v>0</v>
      </c>
      <c r="V4" s="134">
        <v>12</v>
      </c>
      <c r="W4" s="134"/>
      <c r="X4" s="134" t="s">
        <v>51</v>
      </c>
      <c r="Y4" s="134"/>
      <c r="Z4" s="134" t="s">
        <v>52</v>
      </c>
      <c r="AA4" s="134" t="s">
        <v>53</v>
      </c>
      <c r="AB4" s="134" t="s">
        <v>52</v>
      </c>
      <c r="AC4" s="134" t="s">
        <v>48</v>
      </c>
      <c r="AD4" s="134" t="s">
        <v>52</v>
      </c>
      <c r="AE4" s="134" t="s">
        <v>54</v>
      </c>
      <c r="AF4" s="134" t="s">
        <v>54</v>
      </c>
      <c r="AG4" s="134" t="s">
        <v>55</v>
      </c>
      <c r="AH4" s="134" t="s">
        <v>56</v>
      </c>
      <c r="AI4" s="134" t="s">
        <v>48</v>
      </c>
      <c r="AJ4" s="134"/>
      <c r="AK4" s="134"/>
      <c r="AL4" s="134" t="s">
        <v>57</v>
      </c>
      <c r="AM4" s="134"/>
      <c r="AN4" s="134" t="s">
        <v>62</v>
      </c>
      <c r="AO4" s="472"/>
      <c r="AP4" s="472"/>
      <c r="AQ4" s="472"/>
      <c r="AR4" s="135">
        <f>COUNTIF(B:B,B4)</f>
        <v>1</v>
      </c>
      <c r="AS4" s="135" t="str">
        <f t="shared" ref="AS4:AS67" si="11">IFERROR(RIGHT(B4,16-SEARCH("_", B4)),0)</f>
        <v>2020_01_22_a</v>
      </c>
      <c r="AU4" s="135" t="str">
        <f t="shared" ref="AU4:AU67" si="12">LEFT(AS4,4)</f>
        <v>2020</v>
      </c>
      <c r="AV4" s="135" t="str">
        <f t="shared" ref="AV4:AV67" si="13">MID(AS4,6,2)</f>
        <v>01</v>
      </c>
      <c r="AW4" s="135" t="str">
        <f t="shared" ref="AW4:AW67" si="14">MID(AS4,9,2)</f>
        <v>22</v>
      </c>
      <c r="AX4" s="135">
        <f t="shared" ref="AX4:AX67" si="15">IFERROR(DATE(AU4,AV4,AW4)," ")</f>
        <v>43852</v>
      </c>
      <c r="AY4" s="137"/>
      <c r="AZ4" s="138">
        <f t="shared" ref="AZ4:AZ67" si="16">H4</f>
        <v>43852</v>
      </c>
      <c r="BA4" s="135" t="b">
        <f t="shared" ref="BA4:BA67" si="17">IF(AX4=" "," ",AX4=AZ4)</f>
        <v>1</v>
      </c>
      <c r="BB4" s="135">
        <f t="shared" ref="BB4:BB67" si="18">IF(BC4="YES"," ",AZ4)</f>
        <v>43852</v>
      </c>
      <c r="BC4" s="135" t="str">
        <f t="shared" ref="BC4:BC67" si="19">IF(AM4="Apprentice","yes","no")</f>
        <v>no</v>
      </c>
      <c r="BD4" s="135" t="b">
        <f t="shared" ref="BD4:BD67" si="20">IF(OR(U4&lt;&gt;"0", V4&lt;&gt;"0"),U4=V4," ")</f>
        <v>0</v>
      </c>
      <c r="BE4" s="139" t="s">
        <v>59</v>
      </c>
    </row>
    <row r="5" spans="1:58" s="136" customFormat="1" ht="154">
      <c r="A5" s="127" t="s">
        <v>63</v>
      </c>
      <c r="B5" s="129" t="s">
        <v>64</v>
      </c>
      <c r="C5" s="130"/>
      <c r="D5" s="131">
        <v>10021431</v>
      </c>
      <c r="E5" s="130"/>
      <c r="F5" s="131" t="s">
        <v>46</v>
      </c>
      <c r="G5" s="132">
        <v>43857</v>
      </c>
      <c r="H5" s="133">
        <v>43857</v>
      </c>
      <c r="I5" s="132">
        <v>43861</v>
      </c>
      <c r="J5" s="133">
        <v>43864</v>
      </c>
      <c r="K5" s="132">
        <v>43916</v>
      </c>
      <c r="L5" s="132">
        <v>43917</v>
      </c>
      <c r="M5" s="132" t="s">
        <v>48</v>
      </c>
      <c r="N5" s="132" t="s">
        <v>48</v>
      </c>
      <c r="O5" s="132"/>
      <c r="P5" s="132"/>
      <c r="Q5" s="134" t="s">
        <v>49</v>
      </c>
      <c r="R5" s="134" t="s">
        <v>50</v>
      </c>
      <c r="S5" s="134">
        <f>U5+V5</f>
        <v>87</v>
      </c>
      <c r="T5" s="134">
        <v>87</v>
      </c>
      <c r="U5" s="134">
        <v>0</v>
      </c>
      <c r="V5" s="134">
        <v>87</v>
      </c>
      <c r="W5" s="134"/>
      <c r="X5" s="134" t="s">
        <v>51</v>
      </c>
      <c r="Y5" s="134"/>
      <c r="Z5" s="134" t="s">
        <v>52</v>
      </c>
      <c r="AA5" s="134" t="s">
        <v>53</v>
      </c>
      <c r="AB5" s="134" t="s">
        <v>52</v>
      </c>
      <c r="AC5" s="134" t="s">
        <v>48</v>
      </c>
      <c r="AD5" s="134" t="s">
        <v>52</v>
      </c>
      <c r="AE5" s="134" t="s">
        <v>54</v>
      </c>
      <c r="AF5" s="134" t="s">
        <v>54</v>
      </c>
      <c r="AG5" s="134" t="s">
        <v>55</v>
      </c>
      <c r="AH5" s="134" t="s">
        <v>56</v>
      </c>
      <c r="AI5" s="134" t="s">
        <v>48</v>
      </c>
      <c r="AJ5" s="134"/>
      <c r="AK5" s="134"/>
      <c r="AL5" s="134" t="s">
        <v>57</v>
      </c>
      <c r="AM5" s="134"/>
      <c r="AN5" s="134"/>
      <c r="AO5" s="472"/>
      <c r="AP5" s="472"/>
      <c r="AQ5" s="472"/>
      <c r="AR5" s="135">
        <f>COUNTIF(B:B,B5)</f>
        <v>1</v>
      </c>
      <c r="AS5" s="135" t="str">
        <f t="shared" si="11"/>
        <v>2020_01_27_a</v>
      </c>
      <c r="AU5" s="135" t="str">
        <f t="shared" si="12"/>
        <v>2020</v>
      </c>
      <c r="AV5" s="135" t="str">
        <f t="shared" si="13"/>
        <v>01</v>
      </c>
      <c r="AW5" s="135" t="str">
        <f t="shared" si="14"/>
        <v>27</v>
      </c>
      <c r="AX5" s="135">
        <f t="shared" si="15"/>
        <v>43857</v>
      </c>
      <c r="AY5" s="137"/>
      <c r="AZ5" s="138">
        <f t="shared" si="16"/>
        <v>43857</v>
      </c>
      <c r="BA5" s="135" t="b">
        <f t="shared" si="17"/>
        <v>1</v>
      </c>
      <c r="BB5" s="135">
        <f t="shared" si="18"/>
        <v>43857</v>
      </c>
      <c r="BC5" s="135" t="str">
        <f t="shared" si="19"/>
        <v>no</v>
      </c>
      <c r="BD5" s="135" t="b">
        <f t="shared" si="20"/>
        <v>0</v>
      </c>
      <c r="BE5" s="139" t="s">
        <v>59</v>
      </c>
    </row>
    <row r="6" spans="1:58" s="126" customFormat="1" ht="154">
      <c r="A6" s="127" t="s">
        <v>65</v>
      </c>
      <c r="B6" s="129" t="s">
        <v>66</v>
      </c>
      <c r="C6" s="140"/>
      <c r="D6" s="131">
        <v>10032411</v>
      </c>
      <c r="E6" s="134"/>
      <c r="F6" s="131" t="s">
        <v>46</v>
      </c>
      <c r="G6" s="132">
        <v>43878</v>
      </c>
      <c r="H6" s="133">
        <v>43878</v>
      </c>
      <c r="I6" s="132">
        <v>43882</v>
      </c>
      <c r="J6" s="133">
        <v>43885</v>
      </c>
      <c r="K6" s="132">
        <v>43934</v>
      </c>
      <c r="L6" s="132">
        <v>43935</v>
      </c>
      <c r="M6" s="132" t="s">
        <v>48</v>
      </c>
      <c r="N6" s="132" t="s">
        <v>48</v>
      </c>
      <c r="O6" s="132"/>
      <c r="P6" s="132"/>
      <c r="Q6" s="134" t="s">
        <v>49</v>
      </c>
      <c r="R6" s="134" t="s">
        <v>50</v>
      </c>
      <c r="S6" s="134">
        <f>U6+V6</f>
        <v>117</v>
      </c>
      <c r="T6" s="134">
        <v>117</v>
      </c>
      <c r="U6" s="134">
        <v>0</v>
      </c>
      <c r="V6" s="134">
        <v>117</v>
      </c>
      <c r="W6" s="134"/>
      <c r="X6" s="134" t="s">
        <v>51</v>
      </c>
      <c r="Y6" s="134"/>
      <c r="Z6" s="134" t="s">
        <v>52</v>
      </c>
      <c r="AA6" s="134" t="s">
        <v>53</v>
      </c>
      <c r="AB6" s="134" t="s">
        <v>52</v>
      </c>
      <c r="AC6" s="134" t="s">
        <v>48</v>
      </c>
      <c r="AD6" s="134" t="s">
        <v>52</v>
      </c>
      <c r="AE6" s="134" t="s">
        <v>54</v>
      </c>
      <c r="AF6" s="134" t="s">
        <v>54</v>
      </c>
      <c r="AG6" s="134" t="s">
        <v>55</v>
      </c>
      <c r="AH6" s="134" t="s">
        <v>56</v>
      </c>
      <c r="AI6" s="134" t="s">
        <v>48</v>
      </c>
      <c r="AJ6" s="134"/>
      <c r="AK6" s="134"/>
      <c r="AL6" s="134" t="s">
        <v>57</v>
      </c>
      <c r="AM6" s="134"/>
      <c r="AN6" s="134"/>
      <c r="AO6" s="472"/>
      <c r="AP6" s="472"/>
      <c r="AQ6" s="472"/>
      <c r="AR6" s="135">
        <f>COUNTIF(B:B,B6)</f>
        <v>1</v>
      </c>
      <c r="AS6" s="135" t="str">
        <f t="shared" si="11"/>
        <v>2020_02_17_a</v>
      </c>
      <c r="AT6" s="136"/>
      <c r="AU6" s="135" t="str">
        <f t="shared" si="12"/>
        <v>2020</v>
      </c>
      <c r="AV6" s="135" t="str">
        <f t="shared" si="13"/>
        <v>02</v>
      </c>
      <c r="AW6" s="135" t="str">
        <f t="shared" si="14"/>
        <v>17</v>
      </c>
      <c r="AX6" s="135">
        <f t="shared" si="15"/>
        <v>43878</v>
      </c>
      <c r="AY6" s="137"/>
      <c r="AZ6" s="138">
        <f t="shared" si="16"/>
        <v>43878</v>
      </c>
      <c r="BA6" s="135" t="b">
        <f t="shared" si="17"/>
        <v>1</v>
      </c>
      <c r="BB6" s="135">
        <f t="shared" si="18"/>
        <v>43878</v>
      </c>
      <c r="BC6" s="135" t="str">
        <f t="shared" si="19"/>
        <v>no</v>
      </c>
      <c r="BD6" s="135" t="b">
        <f t="shared" si="20"/>
        <v>0</v>
      </c>
      <c r="BE6" s="139" t="s">
        <v>59</v>
      </c>
      <c r="BF6" s="136"/>
    </row>
    <row r="7" spans="1:58" s="126" customFormat="1" ht="154">
      <c r="A7" s="127" t="s">
        <v>67</v>
      </c>
      <c r="B7" s="129" t="s">
        <v>68</v>
      </c>
      <c r="C7" s="134"/>
      <c r="D7" s="131">
        <v>10033120</v>
      </c>
      <c r="E7" s="134"/>
      <c r="F7" s="131" t="s">
        <v>46</v>
      </c>
      <c r="G7" s="132" t="s">
        <v>69</v>
      </c>
      <c r="H7" s="133">
        <v>43885</v>
      </c>
      <c r="I7" s="132">
        <v>43889</v>
      </c>
      <c r="J7" s="133">
        <v>43893</v>
      </c>
      <c r="K7" s="132">
        <v>43941</v>
      </c>
      <c r="L7" s="132">
        <v>43942</v>
      </c>
      <c r="M7" s="132" t="s">
        <v>48</v>
      </c>
      <c r="N7" s="132" t="s">
        <v>48</v>
      </c>
      <c r="O7" s="132"/>
      <c r="P7" s="132"/>
      <c r="Q7" s="134" t="s">
        <v>49</v>
      </c>
      <c r="R7" s="134" t="s">
        <v>50</v>
      </c>
      <c r="S7" s="134">
        <f t="shared" si="0"/>
        <v>105</v>
      </c>
      <c r="T7" s="134">
        <v>105</v>
      </c>
      <c r="U7" s="134">
        <v>0</v>
      </c>
      <c r="V7" s="134">
        <v>105</v>
      </c>
      <c r="W7" s="134"/>
      <c r="X7" s="134" t="s">
        <v>51</v>
      </c>
      <c r="Y7" s="134"/>
      <c r="Z7" s="134" t="s">
        <v>52</v>
      </c>
      <c r="AA7" s="134" t="s">
        <v>53</v>
      </c>
      <c r="AB7" s="134" t="s">
        <v>52</v>
      </c>
      <c r="AC7" s="134" t="s">
        <v>48</v>
      </c>
      <c r="AD7" s="134" t="s">
        <v>52</v>
      </c>
      <c r="AE7" s="134" t="s">
        <v>54</v>
      </c>
      <c r="AF7" s="134" t="s">
        <v>54</v>
      </c>
      <c r="AG7" s="134" t="s">
        <v>55</v>
      </c>
      <c r="AH7" s="134" t="s">
        <v>56</v>
      </c>
      <c r="AI7" s="134" t="s">
        <v>48</v>
      </c>
      <c r="AJ7" s="134"/>
      <c r="AK7" s="134"/>
      <c r="AL7" s="134" t="s">
        <v>57</v>
      </c>
      <c r="AM7" s="134"/>
      <c r="AN7" s="134"/>
      <c r="AO7" s="472"/>
      <c r="AP7" s="472"/>
      <c r="AQ7" s="472"/>
      <c r="AR7" s="135">
        <f>COUNTIF(B:B,B7)</f>
        <v>1</v>
      </c>
      <c r="AS7" s="135" t="str">
        <f t="shared" si="11"/>
        <v>2020_02_24_a</v>
      </c>
      <c r="AT7" s="136"/>
      <c r="AU7" s="135" t="str">
        <f t="shared" si="12"/>
        <v>2020</v>
      </c>
      <c r="AV7" s="135" t="str">
        <f t="shared" si="13"/>
        <v>02</v>
      </c>
      <c r="AW7" s="135" t="str">
        <f t="shared" si="14"/>
        <v>24</v>
      </c>
      <c r="AX7" s="135">
        <f t="shared" si="15"/>
        <v>43885</v>
      </c>
      <c r="AY7" s="137"/>
      <c r="AZ7" s="138">
        <f t="shared" si="16"/>
        <v>43885</v>
      </c>
      <c r="BA7" s="135" t="b">
        <f t="shared" si="17"/>
        <v>1</v>
      </c>
      <c r="BB7" s="135">
        <f t="shared" si="18"/>
        <v>43885</v>
      </c>
      <c r="BC7" s="135" t="str">
        <f t="shared" si="19"/>
        <v>no</v>
      </c>
      <c r="BD7" s="135" t="b">
        <f t="shared" si="20"/>
        <v>0</v>
      </c>
      <c r="BE7" s="139" t="s">
        <v>59</v>
      </c>
      <c r="BF7" s="136"/>
    </row>
    <row r="8" spans="1:58" s="126" customFormat="1" ht="154">
      <c r="A8" s="127" t="s">
        <v>70</v>
      </c>
      <c r="B8" s="129" t="s">
        <v>71</v>
      </c>
      <c r="C8" s="134"/>
      <c r="D8" s="131">
        <v>10035723</v>
      </c>
      <c r="E8" s="134"/>
      <c r="F8" s="131" t="s">
        <v>46</v>
      </c>
      <c r="G8" s="132" t="s">
        <v>72</v>
      </c>
      <c r="H8" s="133">
        <v>43887</v>
      </c>
      <c r="I8" s="132">
        <v>43894</v>
      </c>
      <c r="J8" s="133">
        <v>43895</v>
      </c>
      <c r="K8" s="132">
        <v>43958</v>
      </c>
      <c r="L8" s="132">
        <v>43959</v>
      </c>
      <c r="M8" s="132" t="s">
        <v>48</v>
      </c>
      <c r="N8" s="132" t="s">
        <v>48</v>
      </c>
      <c r="O8" s="132"/>
      <c r="P8" s="132"/>
      <c r="Q8" s="134" t="s">
        <v>49</v>
      </c>
      <c r="R8" s="134" t="s">
        <v>50</v>
      </c>
      <c r="S8" s="134">
        <f t="shared" si="0"/>
        <v>107</v>
      </c>
      <c r="T8" s="134">
        <v>107</v>
      </c>
      <c r="U8" s="134">
        <v>0</v>
      </c>
      <c r="V8" s="134">
        <v>107</v>
      </c>
      <c r="W8" s="134"/>
      <c r="X8" s="134" t="s">
        <v>51</v>
      </c>
      <c r="Y8" s="134"/>
      <c r="Z8" s="134" t="s">
        <v>52</v>
      </c>
      <c r="AA8" s="134" t="s">
        <v>53</v>
      </c>
      <c r="AB8" s="134" t="s">
        <v>52</v>
      </c>
      <c r="AC8" s="134" t="s">
        <v>48</v>
      </c>
      <c r="AD8" s="134" t="s">
        <v>52</v>
      </c>
      <c r="AE8" s="134" t="s">
        <v>54</v>
      </c>
      <c r="AF8" s="134" t="s">
        <v>54</v>
      </c>
      <c r="AG8" s="134" t="s">
        <v>55</v>
      </c>
      <c r="AH8" s="134" t="s">
        <v>56</v>
      </c>
      <c r="AI8" s="134" t="s">
        <v>48</v>
      </c>
      <c r="AJ8" s="134"/>
      <c r="AK8" s="134"/>
      <c r="AL8" s="134" t="s">
        <v>57</v>
      </c>
      <c r="AM8" s="134"/>
      <c r="AN8" s="134"/>
      <c r="AO8" s="472"/>
      <c r="AP8" s="472"/>
      <c r="AQ8" s="472"/>
      <c r="AR8" s="135">
        <f>COUNTIF(B:B,B8)</f>
        <v>1</v>
      </c>
      <c r="AS8" s="135" t="str">
        <f t="shared" si="11"/>
        <v>2020_02_26_a</v>
      </c>
      <c r="AT8" s="136"/>
      <c r="AU8" s="135" t="str">
        <f t="shared" si="12"/>
        <v>2020</v>
      </c>
      <c r="AV8" s="135" t="str">
        <f t="shared" si="13"/>
        <v>02</v>
      </c>
      <c r="AW8" s="135" t="str">
        <f t="shared" si="14"/>
        <v>26</v>
      </c>
      <c r="AX8" s="135">
        <f t="shared" si="15"/>
        <v>43887</v>
      </c>
      <c r="AY8" s="137"/>
      <c r="AZ8" s="138">
        <f t="shared" si="16"/>
        <v>43887</v>
      </c>
      <c r="BA8" s="135" t="b">
        <f t="shared" si="17"/>
        <v>1</v>
      </c>
      <c r="BB8" s="135">
        <f t="shared" si="18"/>
        <v>43887</v>
      </c>
      <c r="BC8" s="135" t="str">
        <f t="shared" si="19"/>
        <v>no</v>
      </c>
      <c r="BD8" s="135" t="b">
        <f t="shared" si="20"/>
        <v>0</v>
      </c>
      <c r="BE8" s="139" t="s">
        <v>59</v>
      </c>
      <c r="BF8" s="136"/>
    </row>
    <row r="9" spans="1:58" s="126" customFormat="1" ht="154">
      <c r="A9" s="127" t="s">
        <v>73</v>
      </c>
      <c r="B9" s="129" t="s">
        <v>74</v>
      </c>
      <c r="C9" s="134"/>
      <c r="D9" s="131">
        <v>10041313</v>
      </c>
      <c r="E9" s="134"/>
      <c r="F9" s="131" t="s">
        <v>46</v>
      </c>
      <c r="G9" s="132">
        <v>43899</v>
      </c>
      <c r="H9" s="133">
        <v>43899</v>
      </c>
      <c r="I9" s="132">
        <v>43907</v>
      </c>
      <c r="J9" s="133">
        <v>43908</v>
      </c>
      <c r="K9" s="132">
        <v>43965</v>
      </c>
      <c r="L9" s="132">
        <v>43966</v>
      </c>
      <c r="M9" s="132" t="s">
        <v>48</v>
      </c>
      <c r="N9" s="132" t="s">
        <v>48</v>
      </c>
      <c r="O9" s="132"/>
      <c r="P9" s="132"/>
      <c r="Q9" s="134" t="s">
        <v>49</v>
      </c>
      <c r="R9" s="134" t="s">
        <v>50</v>
      </c>
      <c r="S9" s="134">
        <f t="shared" si="0"/>
        <v>79</v>
      </c>
      <c r="T9" s="134">
        <v>79</v>
      </c>
      <c r="U9" s="134">
        <v>0</v>
      </c>
      <c r="V9" s="134">
        <v>79</v>
      </c>
      <c r="W9" s="134"/>
      <c r="X9" s="134" t="s">
        <v>51</v>
      </c>
      <c r="Y9" s="134"/>
      <c r="Z9" s="134" t="s">
        <v>52</v>
      </c>
      <c r="AA9" s="134" t="s">
        <v>53</v>
      </c>
      <c r="AB9" s="134" t="s">
        <v>52</v>
      </c>
      <c r="AC9" s="134" t="s">
        <v>48</v>
      </c>
      <c r="AD9" s="134" t="s">
        <v>52</v>
      </c>
      <c r="AE9" s="134" t="s">
        <v>54</v>
      </c>
      <c r="AF9" s="134" t="s">
        <v>54</v>
      </c>
      <c r="AG9" s="134" t="s">
        <v>55</v>
      </c>
      <c r="AH9" s="134" t="s">
        <v>56</v>
      </c>
      <c r="AI9" s="134" t="s">
        <v>48</v>
      </c>
      <c r="AJ9" s="134"/>
      <c r="AK9" s="134"/>
      <c r="AL9" s="134" t="s">
        <v>57</v>
      </c>
      <c r="AM9" s="134"/>
      <c r="AN9" s="134" t="s">
        <v>75</v>
      </c>
      <c r="AO9" s="472"/>
      <c r="AP9" s="472"/>
      <c r="AQ9" s="472"/>
      <c r="AR9" s="135">
        <f>COUNTIF(B:B,B9)</f>
        <v>1</v>
      </c>
      <c r="AS9" s="135" t="str">
        <f t="shared" si="11"/>
        <v>2020_03_09_a</v>
      </c>
      <c r="AT9" s="136"/>
      <c r="AU9" s="135" t="str">
        <f t="shared" si="12"/>
        <v>2020</v>
      </c>
      <c r="AV9" s="135" t="str">
        <f t="shared" si="13"/>
        <v>03</v>
      </c>
      <c r="AW9" s="135" t="str">
        <f t="shared" si="14"/>
        <v>09</v>
      </c>
      <c r="AX9" s="135">
        <f t="shared" si="15"/>
        <v>43899</v>
      </c>
      <c r="AY9" s="137"/>
      <c r="AZ9" s="138">
        <f t="shared" si="16"/>
        <v>43899</v>
      </c>
      <c r="BA9" s="135" t="b">
        <f t="shared" si="17"/>
        <v>1</v>
      </c>
      <c r="BB9" s="135">
        <f t="shared" si="18"/>
        <v>43899</v>
      </c>
      <c r="BC9" s="135" t="str">
        <f t="shared" si="19"/>
        <v>no</v>
      </c>
      <c r="BD9" s="135" t="b">
        <f t="shared" si="20"/>
        <v>0</v>
      </c>
      <c r="BE9" s="139" t="s">
        <v>59</v>
      </c>
      <c r="BF9" s="136"/>
    </row>
    <row r="10" spans="1:58" s="126" customFormat="1" ht="154">
      <c r="A10" s="127" t="s">
        <v>73</v>
      </c>
      <c r="B10" s="129" t="s">
        <v>76</v>
      </c>
      <c r="C10" s="134"/>
      <c r="D10" s="131">
        <v>10045221</v>
      </c>
      <c r="E10" s="134"/>
      <c r="F10" s="131" t="s">
        <v>46</v>
      </c>
      <c r="G10" s="132">
        <v>43906</v>
      </c>
      <c r="H10" s="133">
        <v>43906</v>
      </c>
      <c r="I10" s="132">
        <v>43917</v>
      </c>
      <c r="J10" s="133">
        <v>43920</v>
      </c>
      <c r="K10" s="132">
        <v>43972</v>
      </c>
      <c r="L10" s="132">
        <v>43973</v>
      </c>
      <c r="M10" s="132" t="s">
        <v>48</v>
      </c>
      <c r="N10" s="132" t="s">
        <v>48</v>
      </c>
      <c r="O10" s="132"/>
      <c r="P10" s="132"/>
      <c r="Q10" s="134" t="s">
        <v>49</v>
      </c>
      <c r="R10" s="134" t="s">
        <v>50</v>
      </c>
      <c r="S10" s="134">
        <f t="shared" si="0"/>
        <v>45</v>
      </c>
      <c r="T10" s="134">
        <v>45</v>
      </c>
      <c r="U10" s="134">
        <v>0</v>
      </c>
      <c r="V10" s="134">
        <v>45</v>
      </c>
      <c r="W10" s="134"/>
      <c r="X10" s="134" t="s">
        <v>51</v>
      </c>
      <c r="Y10" s="134"/>
      <c r="Z10" s="134" t="s">
        <v>52</v>
      </c>
      <c r="AA10" s="134" t="s">
        <v>53</v>
      </c>
      <c r="AB10" s="134" t="s">
        <v>52</v>
      </c>
      <c r="AC10" s="134" t="s">
        <v>48</v>
      </c>
      <c r="AD10" s="134" t="s">
        <v>52</v>
      </c>
      <c r="AE10" s="134" t="s">
        <v>54</v>
      </c>
      <c r="AF10" s="134" t="s">
        <v>54</v>
      </c>
      <c r="AG10" s="134" t="s">
        <v>55</v>
      </c>
      <c r="AH10" s="134" t="s">
        <v>56</v>
      </c>
      <c r="AI10" s="134" t="s">
        <v>48</v>
      </c>
      <c r="AJ10" s="134"/>
      <c r="AK10" s="134"/>
      <c r="AL10" s="134" t="s">
        <v>57</v>
      </c>
      <c r="AM10" s="134"/>
      <c r="AN10" s="134" t="s">
        <v>77</v>
      </c>
      <c r="AO10" s="472"/>
      <c r="AP10" s="472"/>
      <c r="AQ10" s="472"/>
      <c r="AR10" s="135">
        <f>COUNTIF(B:B,B10)</f>
        <v>1</v>
      </c>
      <c r="AS10" s="135" t="str">
        <f t="shared" si="11"/>
        <v>2020_03_16_a</v>
      </c>
      <c r="AT10" s="136"/>
      <c r="AU10" s="135" t="str">
        <f t="shared" si="12"/>
        <v>2020</v>
      </c>
      <c r="AV10" s="135" t="str">
        <f t="shared" si="13"/>
        <v>03</v>
      </c>
      <c r="AW10" s="135" t="str">
        <f t="shared" si="14"/>
        <v>16</v>
      </c>
      <c r="AX10" s="135">
        <f t="shared" si="15"/>
        <v>43906</v>
      </c>
      <c r="AY10" s="137"/>
      <c r="AZ10" s="138">
        <f t="shared" si="16"/>
        <v>43906</v>
      </c>
      <c r="BA10" s="135" t="b">
        <f t="shared" si="17"/>
        <v>1</v>
      </c>
      <c r="BB10" s="135">
        <f t="shared" si="18"/>
        <v>43906</v>
      </c>
      <c r="BC10" s="135" t="str">
        <f t="shared" si="19"/>
        <v>no</v>
      </c>
      <c r="BD10" s="135" t="b">
        <f t="shared" si="20"/>
        <v>0</v>
      </c>
      <c r="BE10" s="139" t="s">
        <v>59</v>
      </c>
      <c r="BF10" s="136"/>
    </row>
    <row r="11" spans="1:58" s="149" customFormat="1" ht="154">
      <c r="A11" s="141" t="s">
        <v>78</v>
      </c>
      <c r="B11" s="142" t="s">
        <v>79</v>
      </c>
      <c r="C11" s="143"/>
      <c r="D11" s="143">
        <v>10079942</v>
      </c>
      <c r="E11" s="143" t="s">
        <v>80</v>
      </c>
      <c r="F11" s="143" t="s">
        <v>46</v>
      </c>
      <c r="G11" s="144" t="s">
        <v>81</v>
      </c>
      <c r="H11" s="145">
        <v>43927</v>
      </c>
      <c r="I11" s="144">
        <v>43938</v>
      </c>
      <c r="J11" s="145">
        <f>WORKDAY(H11,10)</f>
        <v>43941</v>
      </c>
      <c r="K11" s="144">
        <v>44012</v>
      </c>
      <c r="L11" s="144">
        <v>44013</v>
      </c>
      <c r="M11" s="144" t="s">
        <v>48</v>
      </c>
      <c r="N11" s="144" t="s">
        <v>48</v>
      </c>
      <c r="O11" s="144"/>
      <c r="P11" s="144"/>
      <c r="Q11" s="146" t="s">
        <v>82</v>
      </c>
      <c r="R11" s="146" t="s">
        <v>50</v>
      </c>
      <c r="S11" s="146">
        <f t="shared" si="0"/>
        <v>81</v>
      </c>
      <c r="T11" s="146">
        <v>81</v>
      </c>
      <c r="U11" s="146">
        <v>0</v>
      </c>
      <c r="V11" s="134">
        <v>81</v>
      </c>
      <c r="W11" s="146"/>
      <c r="X11" s="130" t="s">
        <v>83</v>
      </c>
      <c r="Y11" s="147" t="s">
        <v>84</v>
      </c>
      <c r="Z11" s="146" t="s">
        <v>52</v>
      </c>
      <c r="AA11" s="146" t="s">
        <v>53</v>
      </c>
      <c r="AB11" s="146" t="s">
        <v>52</v>
      </c>
      <c r="AC11" s="146" t="s">
        <v>48</v>
      </c>
      <c r="AD11" s="146" t="s">
        <v>52</v>
      </c>
      <c r="AE11" s="146" t="s">
        <v>54</v>
      </c>
      <c r="AF11" s="146" t="s">
        <v>54</v>
      </c>
      <c r="AG11" s="146" t="s">
        <v>85</v>
      </c>
      <c r="AH11" s="146" t="s">
        <v>86</v>
      </c>
      <c r="AI11" s="146" t="s">
        <v>48</v>
      </c>
      <c r="AJ11" s="146" t="s">
        <v>87</v>
      </c>
      <c r="AK11" s="146">
        <v>89</v>
      </c>
      <c r="AL11" s="146" t="s">
        <v>57</v>
      </c>
      <c r="AM11" s="148"/>
      <c r="AN11" s="148" t="s">
        <v>88</v>
      </c>
      <c r="AR11" s="135">
        <f>COUNTIF(B:B,B11)</f>
        <v>1</v>
      </c>
      <c r="AS11" s="135" t="str">
        <f t="shared" si="11"/>
        <v>2020_04_06_a</v>
      </c>
      <c r="AT11" s="136"/>
      <c r="AU11" s="135" t="str">
        <f t="shared" si="12"/>
        <v>2020</v>
      </c>
      <c r="AV11" s="135" t="str">
        <f t="shared" si="13"/>
        <v>04</v>
      </c>
      <c r="AW11" s="135" t="str">
        <f t="shared" si="14"/>
        <v>06</v>
      </c>
      <c r="AX11" s="135">
        <f t="shared" si="15"/>
        <v>43927</v>
      </c>
      <c r="AY11" s="137"/>
      <c r="AZ11" s="138">
        <f t="shared" si="16"/>
        <v>43927</v>
      </c>
      <c r="BA11" s="135" t="b">
        <f t="shared" si="17"/>
        <v>1</v>
      </c>
      <c r="BB11" s="135">
        <f t="shared" si="18"/>
        <v>43927</v>
      </c>
      <c r="BC11" s="135" t="str">
        <f t="shared" si="19"/>
        <v>no</v>
      </c>
      <c r="BD11" s="135" t="b">
        <f t="shared" si="20"/>
        <v>0</v>
      </c>
      <c r="BE11" s="139" t="s">
        <v>59</v>
      </c>
      <c r="BF11" s="136"/>
    </row>
    <row r="12" spans="1:58" s="126" customFormat="1" ht="154">
      <c r="A12" s="81" t="s">
        <v>89</v>
      </c>
      <c r="B12" s="150" t="s">
        <v>90</v>
      </c>
      <c r="C12" s="134"/>
      <c r="D12" s="131">
        <v>10088244</v>
      </c>
      <c r="E12" s="134" t="s">
        <v>91</v>
      </c>
      <c r="F12" s="131" t="s">
        <v>46</v>
      </c>
      <c r="G12" s="132" t="s">
        <v>92</v>
      </c>
      <c r="H12" s="133">
        <v>44060</v>
      </c>
      <c r="I12" s="132">
        <v>44071</v>
      </c>
      <c r="J12" s="133">
        <f>WORKDAY(H12,10)</f>
        <v>44074</v>
      </c>
      <c r="K12" s="132">
        <v>44126</v>
      </c>
      <c r="L12" s="132">
        <v>44127</v>
      </c>
      <c r="M12" s="132" t="s">
        <v>48</v>
      </c>
      <c r="N12" s="132" t="s">
        <v>48</v>
      </c>
      <c r="O12" s="132"/>
      <c r="P12" s="132"/>
      <c r="Q12" s="134" t="s">
        <v>93</v>
      </c>
      <c r="R12" s="134" t="s">
        <v>50</v>
      </c>
      <c r="S12" s="134">
        <f t="shared" si="0"/>
        <v>28</v>
      </c>
      <c r="T12" s="134">
        <v>28</v>
      </c>
      <c r="U12" s="134">
        <v>0</v>
      </c>
      <c r="V12" s="134">
        <v>28</v>
      </c>
      <c r="W12" s="134"/>
      <c r="X12" s="134" t="s">
        <v>94</v>
      </c>
      <c r="Y12" s="134"/>
      <c r="Z12" s="134" t="s">
        <v>52</v>
      </c>
      <c r="AA12" s="134" t="s">
        <v>53</v>
      </c>
      <c r="AB12" s="134" t="s">
        <v>52</v>
      </c>
      <c r="AC12" s="134" t="s">
        <v>48</v>
      </c>
      <c r="AD12" s="134" t="s">
        <v>53</v>
      </c>
      <c r="AE12" s="134" t="s">
        <v>54</v>
      </c>
      <c r="AF12" s="134" t="s">
        <v>54</v>
      </c>
      <c r="AG12" s="134" t="s">
        <v>85</v>
      </c>
      <c r="AH12" s="134" t="s">
        <v>86</v>
      </c>
      <c r="AI12" s="134" t="s">
        <v>48</v>
      </c>
      <c r="AJ12" s="134"/>
      <c r="AK12" s="134"/>
      <c r="AL12" s="134" t="s">
        <v>57</v>
      </c>
      <c r="AM12" s="134"/>
      <c r="AN12" s="134" t="s">
        <v>95</v>
      </c>
      <c r="AO12" s="472"/>
      <c r="AP12" s="472"/>
      <c r="AQ12" s="472"/>
      <c r="AR12" s="135">
        <f>COUNTIF(B:B,B12)</f>
        <v>1</v>
      </c>
      <c r="AS12" s="135" t="str">
        <f t="shared" si="11"/>
        <v>2020_08_17_a</v>
      </c>
      <c r="AT12" s="136"/>
      <c r="AU12" s="135" t="str">
        <f t="shared" si="12"/>
        <v>2020</v>
      </c>
      <c r="AV12" s="135" t="str">
        <f t="shared" si="13"/>
        <v>08</v>
      </c>
      <c r="AW12" s="135" t="str">
        <f t="shared" si="14"/>
        <v>17</v>
      </c>
      <c r="AX12" s="135">
        <f t="shared" si="15"/>
        <v>44060</v>
      </c>
      <c r="AY12" s="137"/>
      <c r="AZ12" s="138">
        <f t="shared" si="16"/>
        <v>44060</v>
      </c>
      <c r="BA12" s="135" t="b">
        <f t="shared" si="17"/>
        <v>1</v>
      </c>
      <c r="BB12" s="135">
        <f t="shared" si="18"/>
        <v>44060</v>
      </c>
      <c r="BC12" s="135" t="str">
        <f t="shared" si="19"/>
        <v>no</v>
      </c>
      <c r="BD12" s="135" t="b">
        <f t="shared" si="20"/>
        <v>0</v>
      </c>
      <c r="BE12" s="139" t="s">
        <v>59</v>
      </c>
      <c r="BF12" s="136"/>
    </row>
    <row r="13" spans="1:58" s="126" customFormat="1" ht="154">
      <c r="A13" s="136" t="s">
        <v>96</v>
      </c>
      <c r="B13" s="150" t="s">
        <v>97</v>
      </c>
      <c r="C13" s="134"/>
      <c r="D13" s="131">
        <v>10088560</v>
      </c>
      <c r="E13" s="134"/>
      <c r="F13" s="131" t="s">
        <v>46</v>
      </c>
      <c r="G13" s="132">
        <v>44053</v>
      </c>
      <c r="H13" s="133">
        <v>44067</v>
      </c>
      <c r="I13" s="132">
        <v>44078</v>
      </c>
      <c r="J13" s="133">
        <f>WORKDAY(H13,10)</f>
        <v>44081</v>
      </c>
      <c r="K13" s="132">
        <v>44133</v>
      </c>
      <c r="L13" s="132">
        <v>44134</v>
      </c>
      <c r="M13" s="132" t="s">
        <v>48</v>
      </c>
      <c r="N13" s="132" t="s">
        <v>48</v>
      </c>
      <c r="O13" s="132"/>
      <c r="P13" s="132"/>
      <c r="Q13" s="134" t="s">
        <v>93</v>
      </c>
      <c r="R13" s="134" t="s">
        <v>50</v>
      </c>
      <c r="S13" s="134">
        <f t="shared" si="0"/>
        <v>29</v>
      </c>
      <c r="T13" s="134">
        <v>29</v>
      </c>
      <c r="U13" s="134">
        <v>0</v>
      </c>
      <c r="V13" s="134">
        <v>29</v>
      </c>
      <c r="W13" s="134"/>
      <c r="X13" s="134" t="s">
        <v>94</v>
      </c>
      <c r="Y13" s="134"/>
      <c r="Z13" s="134" t="s">
        <v>52</v>
      </c>
      <c r="AA13" s="134" t="s">
        <v>53</v>
      </c>
      <c r="AB13" s="134" t="s">
        <v>52</v>
      </c>
      <c r="AC13" s="134" t="s">
        <v>48</v>
      </c>
      <c r="AD13" s="134" t="s">
        <v>53</v>
      </c>
      <c r="AE13" s="134" t="s">
        <v>54</v>
      </c>
      <c r="AF13" s="134" t="s">
        <v>54</v>
      </c>
      <c r="AG13" s="134" t="s">
        <v>85</v>
      </c>
      <c r="AH13" s="134" t="s">
        <v>86</v>
      </c>
      <c r="AI13" s="134" t="s">
        <v>48</v>
      </c>
      <c r="AJ13" s="134"/>
      <c r="AK13" s="134"/>
      <c r="AL13" s="134" t="s">
        <v>57</v>
      </c>
      <c r="AM13" s="134"/>
      <c r="AN13" s="134" t="s">
        <v>98</v>
      </c>
      <c r="AO13" s="472"/>
      <c r="AP13" s="472"/>
      <c r="AQ13" s="472"/>
      <c r="AR13" s="135">
        <f>COUNTIF(B:B,B13)</f>
        <v>1</v>
      </c>
      <c r="AS13" s="135" t="str">
        <f t="shared" si="11"/>
        <v>2020_08_24_a</v>
      </c>
      <c r="AT13" s="136"/>
      <c r="AU13" s="135" t="str">
        <f t="shared" si="12"/>
        <v>2020</v>
      </c>
      <c r="AV13" s="135" t="str">
        <f t="shared" si="13"/>
        <v>08</v>
      </c>
      <c r="AW13" s="135" t="str">
        <f t="shared" si="14"/>
        <v>24</v>
      </c>
      <c r="AX13" s="135">
        <f t="shared" si="15"/>
        <v>44067</v>
      </c>
      <c r="AY13" s="137"/>
      <c r="AZ13" s="138">
        <f t="shared" si="16"/>
        <v>44067</v>
      </c>
      <c r="BA13" s="135" t="b">
        <f t="shared" si="17"/>
        <v>1</v>
      </c>
      <c r="BB13" s="135">
        <f t="shared" si="18"/>
        <v>44067</v>
      </c>
      <c r="BC13" s="135" t="str">
        <f t="shared" si="19"/>
        <v>no</v>
      </c>
      <c r="BD13" s="135" t="b">
        <f t="shared" si="20"/>
        <v>0</v>
      </c>
      <c r="BE13" s="139" t="s">
        <v>59</v>
      </c>
      <c r="BF13" s="136"/>
    </row>
    <row r="14" spans="1:58" s="126" customFormat="1" ht="154">
      <c r="A14" s="136" t="s">
        <v>99</v>
      </c>
      <c r="B14" s="130" t="s">
        <v>100</v>
      </c>
      <c r="C14" s="134"/>
      <c r="D14" s="131">
        <v>10089986</v>
      </c>
      <c r="E14" s="134"/>
      <c r="F14" s="131" t="s">
        <v>46</v>
      </c>
      <c r="G14" s="132" t="s">
        <v>101</v>
      </c>
      <c r="H14" s="133">
        <v>44091</v>
      </c>
      <c r="I14" s="132">
        <v>44106</v>
      </c>
      <c r="J14" s="133">
        <f>WORKDAY(H14,10)</f>
        <v>44105</v>
      </c>
      <c r="K14" s="132">
        <v>44140</v>
      </c>
      <c r="L14" s="132">
        <v>44141</v>
      </c>
      <c r="M14" s="132" t="s">
        <v>48</v>
      </c>
      <c r="N14" s="132" t="s">
        <v>48</v>
      </c>
      <c r="O14" s="132"/>
      <c r="P14" s="132"/>
      <c r="Q14" s="134" t="s">
        <v>93</v>
      </c>
      <c r="R14" s="134" t="s">
        <v>50</v>
      </c>
      <c r="S14" s="134">
        <f t="shared" si="0"/>
        <v>105</v>
      </c>
      <c r="T14" s="134">
        <v>105</v>
      </c>
      <c r="U14" s="134">
        <v>0</v>
      </c>
      <c r="V14" s="134">
        <v>105</v>
      </c>
      <c r="W14" s="134"/>
      <c r="X14" s="134" t="s">
        <v>94</v>
      </c>
      <c r="Y14" s="134"/>
      <c r="Z14" s="134" t="s">
        <v>52</v>
      </c>
      <c r="AA14" s="134" t="s">
        <v>53</v>
      </c>
      <c r="AB14" s="134" t="s">
        <v>52</v>
      </c>
      <c r="AC14" s="134" t="s">
        <v>48</v>
      </c>
      <c r="AD14" s="134" t="s">
        <v>53</v>
      </c>
      <c r="AE14" s="134" t="s">
        <v>54</v>
      </c>
      <c r="AF14" s="134" t="s">
        <v>54</v>
      </c>
      <c r="AG14" s="134" t="s">
        <v>85</v>
      </c>
      <c r="AH14" s="134" t="s">
        <v>86</v>
      </c>
      <c r="AI14" s="134" t="s">
        <v>48</v>
      </c>
      <c r="AJ14" s="134"/>
      <c r="AK14" s="134"/>
      <c r="AL14" s="134" t="s">
        <v>57</v>
      </c>
      <c r="AM14" s="134"/>
      <c r="AN14" s="337" t="s">
        <v>102</v>
      </c>
      <c r="AO14" s="472"/>
      <c r="AP14" s="472"/>
      <c r="AQ14" s="472"/>
      <c r="AR14" s="135">
        <f>COUNTIF(B:B,B14)</f>
        <v>1</v>
      </c>
      <c r="AS14" s="135" t="str">
        <f t="shared" si="11"/>
        <v>2020_09_17_a</v>
      </c>
      <c r="AT14" s="136"/>
      <c r="AU14" s="135" t="str">
        <f t="shared" si="12"/>
        <v>2020</v>
      </c>
      <c r="AV14" s="135" t="str">
        <f t="shared" si="13"/>
        <v>09</v>
      </c>
      <c r="AW14" s="135" t="str">
        <f t="shared" si="14"/>
        <v>17</v>
      </c>
      <c r="AX14" s="135">
        <f t="shared" si="15"/>
        <v>44091</v>
      </c>
      <c r="AY14" s="137"/>
      <c r="AZ14" s="138">
        <f t="shared" si="16"/>
        <v>44091</v>
      </c>
      <c r="BA14" s="135" t="b">
        <f t="shared" si="17"/>
        <v>1</v>
      </c>
      <c r="BB14" s="135">
        <f t="shared" si="18"/>
        <v>44091</v>
      </c>
      <c r="BC14" s="135" t="str">
        <f t="shared" si="19"/>
        <v>no</v>
      </c>
      <c r="BD14" s="135" t="b">
        <f t="shared" si="20"/>
        <v>0</v>
      </c>
      <c r="BE14" s="139" t="s">
        <v>59</v>
      </c>
      <c r="BF14" s="136"/>
    </row>
    <row r="15" spans="1:58" s="126" customFormat="1" ht="154">
      <c r="A15" s="136" t="s">
        <v>103</v>
      </c>
      <c r="B15" s="130" t="s">
        <v>104</v>
      </c>
      <c r="C15" s="134"/>
      <c r="D15" s="131">
        <v>10090826</v>
      </c>
      <c r="E15" s="134"/>
      <c r="F15" s="131" t="s">
        <v>46</v>
      </c>
      <c r="G15" s="132" t="s">
        <v>105</v>
      </c>
      <c r="H15" s="133">
        <v>44109</v>
      </c>
      <c r="I15" s="132">
        <v>44120</v>
      </c>
      <c r="J15" s="133">
        <f>WORKDAY(H15,10)</f>
        <v>44123</v>
      </c>
      <c r="K15" s="132">
        <v>44168</v>
      </c>
      <c r="L15" s="132">
        <v>44169</v>
      </c>
      <c r="M15" s="132" t="s">
        <v>48</v>
      </c>
      <c r="N15" s="132" t="s">
        <v>48</v>
      </c>
      <c r="O15" s="132"/>
      <c r="P15" s="132"/>
      <c r="Q15" s="134" t="s">
        <v>106</v>
      </c>
      <c r="R15" s="134" t="s">
        <v>50</v>
      </c>
      <c r="S15" s="134">
        <f t="shared" si="0"/>
        <v>65</v>
      </c>
      <c r="T15" s="134">
        <v>65</v>
      </c>
      <c r="U15" s="134">
        <v>0</v>
      </c>
      <c r="V15" s="134">
        <v>65</v>
      </c>
      <c r="W15" s="134"/>
      <c r="X15" s="134" t="s">
        <v>94</v>
      </c>
      <c r="Y15" s="134"/>
      <c r="Z15" s="134" t="s">
        <v>52</v>
      </c>
      <c r="AA15" s="134" t="s">
        <v>53</v>
      </c>
      <c r="AB15" s="134" t="s">
        <v>52</v>
      </c>
      <c r="AC15" s="134" t="s">
        <v>48</v>
      </c>
      <c r="AD15" s="134" t="s">
        <v>54</v>
      </c>
      <c r="AE15" s="134" t="s">
        <v>54</v>
      </c>
      <c r="AF15" s="134" t="s">
        <v>54</v>
      </c>
      <c r="AG15" s="134" t="s">
        <v>85</v>
      </c>
      <c r="AH15" s="134" t="s">
        <v>86</v>
      </c>
      <c r="AI15" s="134" t="s">
        <v>48</v>
      </c>
      <c r="AJ15" s="134"/>
      <c r="AK15" s="134"/>
      <c r="AL15" s="134" t="s">
        <v>57</v>
      </c>
      <c r="AM15" s="134"/>
      <c r="AN15" s="337"/>
      <c r="AO15" s="472"/>
      <c r="AP15" s="472"/>
      <c r="AQ15" s="472"/>
      <c r="AR15" s="135">
        <f>COUNTIF(B:B,B15)</f>
        <v>1</v>
      </c>
      <c r="AS15" s="135" t="str">
        <f t="shared" si="11"/>
        <v>2020_10_05_a</v>
      </c>
      <c r="AT15" s="136"/>
      <c r="AU15" s="135" t="str">
        <f t="shared" si="12"/>
        <v>2020</v>
      </c>
      <c r="AV15" s="135" t="str">
        <f t="shared" si="13"/>
        <v>10</v>
      </c>
      <c r="AW15" s="135" t="str">
        <f t="shared" si="14"/>
        <v>05</v>
      </c>
      <c r="AX15" s="135">
        <f t="shared" si="15"/>
        <v>44109</v>
      </c>
      <c r="AY15" s="137"/>
      <c r="AZ15" s="138">
        <f t="shared" si="16"/>
        <v>44109</v>
      </c>
      <c r="BA15" s="135" t="b">
        <f t="shared" si="17"/>
        <v>1</v>
      </c>
      <c r="BB15" s="135">
        <f t="shared" si="18"/>
        <v>44109</v>
      </c>
      <c r="BC15" s="135" t="str">
        <f t="shared" si="19"/>
        <v>no</v>
      </c>
      <c r="BD15" s="135" t="b">
        <f t="shared" si="20"/>
        <v>0</v>
      </c>
      <c r="BE15" s="139" t="s">
        <v>59</v>
      </c>
      <c r="BF15" s="136"/>
    </row>
    <row r="16" spans="1:58" s="126" customFormat="1" ht="409.5">
      <c r="A16" s="136" t="s">
        <v>107</v>
      </c>
      <c r="B16" s="134" t="s">
        <v>108</v>
      </c>
      <c r="C16" s="134"/>
      <c r="D16" s="131">
        <v>10092222</v>
      </c>
      <c r="E16" s="134"/>
      <c r="F16" s="131" t="s">
        <v>46</v>
      </c>
      <c r="G16" s="132">
        <v>44116</v>
      </c>
      <c r="H16" s="133">
        <v>44123</v>
      </c>
      <c r="I16" s="132">
        <v>44137</v>
      </c>
      <c r="J16" s="133">
        <v>44138</v>
      </c>
      <c r="K16" s="132">
        <v>44206</v>
      </c>
      <c r="L16" s="132">
        <v>44207</v>
      </c>
      <c r="M16" s="132" t="s">
        <v>48</v>
      </c>
      <c r="N16" s="132" t="s">
        <v>48</v>
      </c>
      <c r="O16" s="132"/>
      <c r="P16" s="132"/>
      <c r="Q16" s="134" t="s">
        <v>106</v>
      </c>
      <c r="R16" s="134" t="s">
        <v>50</v>
      </c>
      <c r="S16" s="134">
        <f t="shared" si="0"/>
        <v>51</v>
      </c>
      <c r="T16" s="134">
        <v>51</v>
      </c>
      <c r="U16" s="134">
        <v>0</v>
      </c>
      <c r="V16" s="134">
        <v>51</v>
      </c>
      <c r="W16" s="134"/>
      <c r="X16" s="134" t="s">
        <v>94</v>
      </c>
      <c r="Y16" s="134"/>
      <c r="Z16" s="134" t="s">
        <v>52</v>
      </c>
      <c r="AA16" s="134" t="s">
        <v>53</v>
      </c>
      <c r="AB16" s="134" t="s">
        <v>52</v>
      </c>
      <c r="AC16" s="134" t="s">
        <v>48</v>
      </c>
      <c r="AD16" s="134" t="s">
        <v>54</v>
      </c>
      <c r="AE16" s="134" t="s">
        <v>54</v>
      </c>
      <c r="AF16" s="134" t="s">
        <v>54</v>
      </c>
      <c r="AG16" s="134" t="s">
        <v>85</v>
      </c>
      <c r="AH16" s="134" t="s">
        <v>86</v>
      </c>
      <c r="AI16" s="134" t="s">
        <v>48</v>
      </c>
      <c r="AJ16" s="134"/>
      <c r="AK16" s="134"/>
      <c r="AL16" s="134" t="s">
        <v>57</v>
      </c>
      <c r="AM16" s="134"/>
      <c r="AN16" s="134" t="s">
        <v>102</v>
      </c>
      <c r="AO16" s="472"/>
      <c r="AP16" s="472"/>
      <c r="AQ16" s="472"/>
      <c r="AR16" s="135">
        <f>COUNTIF(B:B,B16)</f>
        <v>1</v>
      </c>
      <c r="AS16" s="135" t="str">
        <f t="shared" si="11"/>
        <v>2020_10_19_a</v>
      </c>
      <c r="AT16" s="136"/>
      <c r="AU16" s="135" t="str">
        <f t="shared" si="12"/>
        <v>2020</v>
      </c>
      <c r="AV16" s="135" t="str">
        <f t="shared" si="13"/>
        <v>10</v>
      </c>
      <c r="AW16" s="135" t="str">
        <f t="shared" si="14"/>
        <v>19</v>
      </c>
      <c r="AX16" s="135">
        <f t="shared" si="15"/>
        <v>44123</v>
      </c>
      <c r="AY16" s="137"/>
      <c r="AZ16" s="138">
        <f t="shared" si="16"/>
        <v>44123</v>
      </c>
      <c r="BA16" s="135" t="b">
        <f t="shared" si="17"/>
        <v>1</v>
      </c>
      <c r="BB16" s="135">
        <f t="shared" si="18"/>
        <v>44123</v>
      </c>
      <c r="BC16" s="135" t="str">
        <f t="shared" si="19"/>
        <v>no</v>
      </c>
      <c r="BD16" s="135" t="b">
        <f t="shared" si="20"/>
        <v>0</v>
      </c>
      <c r="BE16" s="139" t="s">
        <v>59</v>
      </c>
      <c r="BF16" s="136"/>
    </row>
    <row r="17" spans="1:58" s="126" customFormat="1" ht="409.5">
      <c r="A17" s="136" t="s">
        <v>109</v>
      </c>
      <c r="B17" s="134" t="s">
        <v>110</v>
      </c>
      <c r="C17" s="134"/>
      <c r="D17" s="131">
        <v>10092936</v>
      </c>
      <c r="E17" s="134"/>
      <c r="F17" s="131" t="s">
        <v>46</v>
      </c>
      <c r="G17" s="132" t="s">
        <v>111</v>
      </c>
      <c r="H17" s="133">
        <v>44131</v>
      </c>
      <c r="I17" s="132">
        <v>44144</v>
      </c>
      <c r="J17" s="133">
        <f>WORKDAY(H17,10)</f>
        <v>44145</v>
      </c>
      <c r="K17" s="132">
        <v>44214</v>
      </c>
      <c r="L17" s="132">
        <v>44217</v>
      </c>
      <c r="M17" s="132" t="s">
        <v>48</v>
      </c>
      <c r="N17" s="132" t="s">
        <v>48</v>
      </c>
      <c r="O17" s="132"/>
      <c r="P17" s="132"/>
      <c r="Q17" s="134" t="s">
        <v>106</v>
      </c>
      <c r="R17" s="134" t="s">
        <v>50</v>
      </c>
      <c r="S17" s="134">
        <f t="shared" si="0"/>
        <v>52</v>
      </c>
      <c r="T17" s="134">
        <v>52</v>
      </c>
      <c r="U17" s="134">
        <v>0</v>
      </c>
      <c r="V17" s="134">
        <v>52</v>
      </c>
      <c r="W17" s="134"/>
      <c r="X17" s="134" t="s">
        <v>94</v>
      </c>
      <c r="Y17" s="134"/>
      <c r="Z17" s="134" t="s">
        <v>52</v>
      </c>
      <c r="AA17" s="134" t="s">
        <v>53</v>
      </c>
      <c r="AB17" s="134" t="s">
        <v>52</v>
      </c>
      <c r="AC17" s="134" t="s">
        <v>48</v>
      </c>
      <c r="AD17" s="134" t="s">
        <v>54</v>
      </c>
      <c r="AE17" s="134" t="s">
        <v>54</v>
      </c>
      <c r="AF17" s="134" t="s">
        <v>54</v>
      </c>
      <c r="AG17" s="134" t="s">
        <v>85</v>
      </c>
      <c r="AH17" s="134" t="s">
        <v>86</v>
      </c>
      <c r="AI17" s="134" t="s">
        <v>48</v>
      </c>
      <c r="AJ17" s="134"/>
      <c r="AK17" s="134"/>
      <c r="AL17" s="134" t="s">
        <v>57</v>
      </c>
      <c r="AM17" s="134"/>
      <c r="AN17" s="134" t="s">
        <v>102</v>
      </c>
      <c r="AO17" s="472"/>
      <c r="AP17" s="472"/>
      <c r="AQ17" s="472"/>
      <c r="AR17" s="135">
        <f>COUNTIF(B:B,B17)</f>
        <v>1</v>
      </c>
      <c r="AS17" s="135" t="str">
        <f t="shared" si="11"/>
        <v>2020_10_27_a</v>
      </c>
      <c r="AT17" s="136"/>
      <c r="AU17" s="135" t="str">
        <f t="shared" si="12"/>
        <v>2020</v>
      </c>
      <c r="AV17" s="135" t="str">
        <f t="shared" si="13"/>
        <v>10</v>
      </c>
      <c r="AW17" s="135" t="str">
        <f t="shared" si="14"/>
        <v>27</v>
      </c>
      <c r="AX17" s="135">
        <f t="shared" si="15"/>
        <v>44131</v>
      </c>
      <c r="AY17" s="137"/>
      <c r="AZ17" s="138">
        <f t="shared" si="16"/>
        <v>44131</v>
      </c>
      <c r="BA17" s="135" t="b">
        <f t="shared" si="17"/>
        <v>1</v>
      </c>
      <c r="BB17" s="135">
        <f t="shared" si="18"/>
        <v>44131</v>
      </c>
      <c r="BC17" s="135" t="str">
        <f t="shared" si="19"/>
        <v>no</v>
      </c>
      <c r="BD17" s="135" t="b">
        <f t="shared" si="20"/>
        <v>0</v>
      </c>
      <c r="BE17" s="139" t="s">
        <v>59</v>
      </c>
      <c r="BF17" s="136"/>
    </row>
    <row r="18" spans="1:58" s="126" customFormat="1" ht="154">
      <c r="A18" s="136" t="s">
        <v>112</v>
      </c>
      <c r="B18" s="134" t="s">
        <v>113</v>
      </c>
      <c r="C18" s="134"/>
      <c r="D18" s="131">
        <v>10093611</v>
      </c>
      <c r="E18" s="134"/>
      <c r="F18" s="131" t="s">
        <v>46</v>
      </c>
      <c r="G18" s="132">
        <v>44137</v>
      </c>
      <c r="H18" s="151">
        <v>44144</v>
      </c>
      <c r="I18" s="132">
        <v>44158</v>
      </c>
      <c r="J18" s="133">
        <v>44159</v>
      </c>
      <c r="K18" s="132">
        <v>44229</v>
      </c>
      <c r="L18" s="132">
        <v>44270</v>
      </c>
      <c r="M18" s="132" t="s">
        <v>48</v>
      </c>
      <c r="N18" s="132" t="s">
        <v>48</v>
      </c>
      <c r="O18" s="132"/>
      <c r="P18" s="132"/>
      <c r="Q18" s="134" t="s">
        <v>106</v>
      </c>
      <c r="R18" s="134" t="s">
        <v>50</v>
      </c>
      <c r="S18" s="134">
        <f t="shared" si="0"/>
        <v>51</v>
      </c>
      <c r="T18" s="134">
        <v>51</v>
      </c>
      <c r="U18" s="134">
        <v>0</v>
      </c>
      <c r="V18" s="134">
        <v>51</v>
      </c>
      <c r="W18" s="134"/>
      <c r="X18" s="134" t="s">
        <v>94</v>
      </c>
      <c r="Y18" s="134"/>
      <c r="Z18" s="134" t="s">
        <v>52</v>
      </c>
      <c r="AA18" s="134" t="s">
        <v>53</v>
      </c>
      <c r="AB18" s="134" t="s">
        <v>52</v>
      </c>
      <c r="AC18" s="134" t="s">
        <v>48</v>
      </c>
      <c r="AD18" s="134" t="s">
        <v>54</v>
      </c>
      <c r="AE18" s="134" t="s">
        <v>54</v>
      </c>
      <c r="AF18" s="134" t="s">
        <v>54</v>
      </c>
      <c r="AG18" s="134" t="s">
        <v>85</v>
      </c>
      <c r="AH18" s="134" t="s">
        <v>86</v>
      </c>
      <c r="AI18" s="134" t="s">
        <v>48</v>
      </c>
      <c r="AJ18" s="134"/>
      <c r="AK18" s="134"/>
      <c r="AL18" s="134" t="s">
        <v>57</v>
      </c>
      <c r="AM18" s="134"/>
      <c r="AN18" s="134"/>
      <c r="AO18" s="472"/>
      <c r="AP18" s="472"/>
      <c r="AQ18" s="472"/>
      <c r="AR18" s="135">
        <f>COUNTIF(B:B,B18)</f>
        <v>1</v>
      </c>
      <c r="AS18" s="135" t="str">
        <f t="shared" si="11"/>
        <v>2020_11_09_a</v>
      </c>
      <c r="AT18" s="136"/>
      <c r="AU18" s="135" t="str">
        <f t="shared" si="12"/>
        <v>2020</v>
      </c>
      <c r="AV18" s="135" t="str">
        <f t="shared" si="13"/>
        <v>11</v>
      </c>
      <c r="AW18" s="135" t="str">
        <f t="shared" si="14"/>
        <v>09</v>
      </c>
      <c r="AX18" s="135">
        <f t="shared" si="15"/>
        <v>44144</v>
      </c>
      <c r="AY18" s="137"/>
      <c r="AZ18" s="138">
        <f t="shared" si="16"/>
        <v>44144</v>
      </c>
      <c r="BA18" s="135" t="b">
        <f t="shared" si="17"/>
        <v>1</v>
      </c>
      <c r="BB18" s="135">
        <f t="shared" si="18"/>
        <v>44144</v>
      </c>
      <c r="BC18" s="135" t="str">
        <f t="shared" si="19"/>
        <v>no</v>
      </c>
      <c r="BD18" s="135" t="b">
        <f t="shared" si="20"/>
        <v>0</v>
      </c>
      <c r="BE18" s="139" t="s">
        <v>59</v>
      </c>
      <c r="BF18" s="136"/>
    </row>
    <row r="19" spans="1:58" s="126" customFormat="1" ht="154">
      <c r="A19" s="136"/>
      <c r="B19" s="134" t="s">
        <v>114</v>
      </c>
      <c r="C19" s="134"/>
      <c r="D19" s="131">
        <v>10094747</v>
      </c>
      <c r="E19" s="134"/>
      <c r="F19" s="131" t="s">
        <v>46</v>
      </c>
      <c r="G19" s="132" t="s">
        <v>115</v>
      </c>
      <c r="H19" s="151">
        <v>44165</v>
      </c>
      <c r="I19" s="132">
        <v>44176</v>
      </c>
      <c r="J19" s="133">
        <f>WORKDAY(H19,10)</f>
        <v>44179</v>
      </c>
      <c r="K19" s="132">
        <v>44239</v>
      </c>
      <c r="L19" s="132">
        <v>44239</v>
      </c>
      <c r="M19" s="132" t="s">
        <v>48</v>
      </c>
      <c r="N19" s="132" t="s">
        <v>48</v>
      </c>
      <c r="O19" s="132"/>
      <c r="P19" s="132"/>
      <c r="Q19" s="134" t="s">
        <v>106</v>
      </c>
      <c r="R19" s="134" t="s">
        <v>50</v>
      </c>
      <c r="S19" s="134">
        <f t="shared" si="0"/>
        <v>75</v>
      </c>
      <c r="T19" s="134">
        <v>75</v>
      </c>
      <c r="U19" s="134">
        <v>0</v>
      </c>
      <c r="V19" s="134">
        <v>75</v>
      </c>
      <c r="W19" s="134"/>
      <c r="X19" s="134" t="s">
        <v>94</v>
      </c>
      <c r="Y19" s="134"/>
      <c r="Z19" s="134" t="s">
        <v>52</v>
      </c>
      <c r="AA19" s="134" t="s">
        <v>53</v>
      </c>
      <c r="AB19" s="134" t="s">
        <v>52</v>
      </c>
      <c r="AC19" s="134" t="s">
        <v>48</v>
      </c>
      <c r="AD19" s="134" t="s">
        <v>54</v>
      </c>
      <c r="AE19" s="134" t="s">
        <v>54</v>
      </c>
      <c r="AF19" s="134" t="s">
        <v>54</v>
      </c>
      <c r="AG19" s="134" t="s">
        <v>85</v>
      </c>
      <c r="AH19" s="134" t="s">
        <v>86</v>
      </c>
      <c r="AI19" s="134" t="s">
        <v>48</v>
      </c>
      <c r="AJ19" s="134"/>
      <c r="AK19" s="134"/>
      <c r="AL19" s="134" t="s">
        <v>57</v>
      </c>
      <c r="AM19" s="134"/>
      <c r="AN19" s="134"/>
      <c r="AO19" s="472"/>
      <c r="AP19" s="472"/>
      <c r="AQ19" s="472"/>
      <c r="AR19" s="135">
        <f>COUNTIF(B:B,B19)</f>
        <v>1</v>
      </c>
      <c r="AS19" s="135" t="str">
        <f t="shared" si="11"/>
        <v>2020_11_30_a</v>
      </c>
      <c r="AT19" s="136"/>
      <c r="AU19" s="135" t="str">
        <f t="shared" si="12"/>
        <v>2020</v>
      </c>
      <c r="AV19" s="135" t="str">
        <f t="shared" si="13"/>
        <v>11</v>
      </c>
      <c r="AW19" s="135" t="str">
        <f t="shared" si="14"/>
        <v>30</v>
      </c>
      <c r="AX19" s="135">
        <f t="shared" si="15"/>
        <v>44165</v>
      </c>
      <c r="AY19" s="137"/>
      <c r="AZ19" s="138">
        <f t="shared" si="16"/>
        <v>44165</v>
      </c>
      <c r="BA19" s="135" t="b">
        <f t="shared" si="17"/>
        <v>1</v>
      </c>
      <c r="BB19" s="135">
        <f t="shared" si="18"/>
        <v>44165</v>
      </c>
      <c r="BC19" s="135" t="str">
        <f t="shared" si="19"/>
        <v>no</v>
      </c>
      <c r="BD19" s="135" t="b">
        <f t="shared" si="20"/>
        <v>0</v>
      </c>
      <c r="BE19" s="139" t="s">
        <v>59</v>
      </c>
      <c r="BF19" s="136"/>
    </row>
    <row r="20" spans="1:58" s="126" customFormat="1" ht="154">
      <c r="A20" s="136"/>
      <c r="B20" s="134" t="s">
        <v>116</v>
      </c>
      <c r="C20" s="134"/>
      <c r="D20" s="131">
        <v>10095068</v>
      </c>
      <c r="E20" s="134"/>
      <c r="F20" s="131" t="s">
        <v>46</v>
      </c>
      <c r="G20" s="132">
        <v>44167</v>
      </c>
      <c r="H20" s="151">
        <v>44172</v>
      </c>
      <c r="I20" s="132">
        <v>44183</v>
      </c>
      <c r="J20" s="133">
        <f>WORKDAY(H20,10)</f>
        <v>44186</v>
      </c>
      <c r="K20" s="132">
        <v>44246</v>
      </c>
      <c r="L20" s="132">
        <v>44246</v>
      </c>
      <c r="M20" s="132" t="s">
        <v>48</v>
      </c>
      <c r="N20" s="132" t="s">
        <v>48</v>
      </c>
      <c r="O20" s="132"/>
      <c r="P20" s="132"/>
      <c r="Q20" s="134" t="s">
        <v>106</v>
      </c>
      <c r="R20" s="134" t="s">
        <v>50</v>
      </c>
      <c r="S20" s="134">
        <f t="shared" si="0"/>
        <v>64</v>
      </c>
      <c r="T20" s="134">
        <v>64</v>
      </c>
      <c r="U20" s="134">
        <v>0</v>
      </c>
      <c r="V20" s="134">
        <v>64</v>
      </c>
      <c r="W20" s="134"/>
      <c r="X20" s="134" t="s">
        <v>94</v>
      </c>
      <c r="Y20" s="134"/>
      <c r="Z20" s="134" t="s">
        <v>52</v>
      </c>
      <c r="AA20" s="134" t="s">
        <v>53</v>
      </c>
      <c r="AB20" s="134" t="s">
        <v>52</v>
      </c>
      <c r="AC20" s="134" t="s">
        <v>48</v>
      </c>
      <c r="AD20" s="134" t="s">
        <v>54</v>
      </c>
      <c r="AE20" s="134" t="s">
        <v>54</v>
      </c>
      <c r="AF20" s="134" t="s">
        <v>54</v>
      </c>
      <c r="AG20" s="134" t="s">
        <v>85</v>
      </c>
      <c r="AH20" s="134" t="s">
        <v>86</v>
      </c>
      <c r="AI20" s="134" t="s">
        <v>48</v>
      </c>
      <c r="AJ20" s="134"/>
      <c r="AK20" s="134"/>
      <c r="AL20" s="134" t="s">
        <v>57</v>
      </c>
      <c r="AM20" s="134"/>
      <c r="AN20" s="134"/>
      <c r="AO20" s="472"/>
      <c r="AP20" s="472"/>
      <c r="AQ20" s="472"/>
      <c r="AR20" s="135">
        <f>COUNTIF(B:B,B20)</f>
        <v>1</v>
      </c>
      <c r="AS20" s="135" t="str">
        <f t="shared" si="11"/>
        <v>2020_12_07_a</v>
      </c>
      <c r="AT20" s="136"/>
      <c r="AU20" s="135" t="str">
        <f t="shared" si="12"/>
        <v>2020</v>
      </c>
      <c r="AV20" s="135" t="str">
        <f t="shared" si="13"/>
        <v>12</v>
      </c>
      <c r="AW20" s="135" t="str">
        <f t="shared" si="14"/>
        <v>07</v>
      </c>
      <c r="AX20" s="135">
        <f t="shared" si="15"/>
        <v>44172</v>
      </c>
      <c r="AY20" s="137"/>
      <c r="AZ20" s="138">
        <f t="shared" si="16"/>
        <v>44172</v>
      </c>
      <c r="BA20" s="135" t="b">
        <f t="shared" si="17"/>
        <v>1</v>
      </c>
      <c r="BB20" s="135">
        <f t="shared" si="18"/>
        <v>44172</v>
      </c>
      <c r="BC20" s="135" t="str">
        <f t="shared" si="19"/>
        <v>no</v>
      </c>
      <c r="BD20" s="135" t="b">
        <f t="shared" si="20"/>
        <v>0</v>
      </c>
      <c r="BE20" s="139" t="s">
        <v>59</v>
      </c>
      <c r="BF20" s="136"/>
    </row>
    <row r="21" spans="1:58" s="126" customFormat="1" ht="154">
      <c r="A21" s="136"/>
      <c r="B21" s="134" t="s">
        <v>117</v>
      </c>
      <c r="C21" s="134"/>
      <c r="D21" s="131">
        <v>10095338</v>
      </c>
      <c r="E21" s="134"/>
      <c r="F21" s="131" t="s">
        <v>46</v>
      </c>
      <c r="G21" s="132">
        <v>44172</v>
      </c>
      <c r="H21" s="151">
        <v>44175</v>
      </c>
      <c r="I21" s="132">
        <v>44188</v>
      </c>
      <c r="J21" s="133">
        <f>WORKDAY(H21,10)</f>
        <v>44189</v>
      </c>
      <c r="K21" s="132">
        <v>44263</v>
      </c>
      <c r="L21" s="132">
        <v>44263</v>
      </c>
      <c r="M21" s="132" t="s">
        <v>48</v>
      </c>
      <c r="N21" s="132" t="s">
        <v>48</v>
      </c>
      <c r="O21" s="132"/>
      <c r="P21" s="132"/>
      <c r="Q21" s="134" t="s">
        <v>106</v>
      </c>
      <c r="R21" s="134" t="s">
        <v>50</v>
      </c>
      <c r="S21" s="134">
        <f t="shared" si="0"/>
        <v>79</v>
      </c>
      <c r="T21" s="134">
        <v>79</v>
      </c>
      <c r="U21" s="134">
        <v>0</v>
      </c>
      <c r="V21" s="134">
        <v>79</v>
      </c>
      <c r="W21" s="134"/>
      <c r="X21" s="134" t="s">
        <v>94</v>
      </c>
      <c r="Y21" s="134"/>
      <c r="Z21" s="134" t="s">
        <v>52</v>
      </c>
      <c r="AA21" s="134" t="s">
        <v>53</v>
      </c>
      <c r="AB21" s="134" t="s">
        <v>52</v>
      </c>
      <c r="AC21" s="134" t="s">
        <v>48</v>
      </c>
      <c r="AD21" s="134" t="s">
        <v>54</v>
      </c>
      <c r="AE21" s="134" t="s">
        <v>54</v>
      </c>
      <c r="AF21" s="134" t="s">
        <v>54</v>
      </c>
      <c r="AG21" s="134" t="s">
        <v>85</v>
      </c>
      <c r="AH21" s="134" t="s">
        <v>86</v>
      </c>
      <c r="AI21" s="134" t="s">
        <v>48</v>
      </c>
      <c r="AJ21" s="134"/>
      <c r="AK21" s="134"/>
      <c r="AL21" s="134" t="s">
        <v>57</v>
      </c>
      <c r="AM21" s="134"/>
      <c r="AN21" s="134"/>
      <c r="AO21" s="472"/>
      <c r="AP21" s="472"/>
      <c r="AQ21" s="472"/>
      <c r="AR21" s="135">
        <f>COUNTIF(B:B,B21)</f>
        <v>1</v>
      </c>
      <c r="AS21" s="135" t="str">
        <f t="shared" si="11"/>
        <v>2020_12_10_a</v>
      </c>
      <c r="AT21" s="136"/>
      <c r="AU21" s="135" t="str">
        <f t="shared" si="12"/>
        <v>2020</v>
      </c>
      <c r="AV21" s="135" t="str">
        <f t="shared" si="13"/>
        <v>12</v>
      </c>
      <c r="AW21" s="135" t="str">
        <f t="shared" si="14"/>
        <v>10</v>
      </c>
      <c r="AX21" s="135">
        <f t="shared" si="15"/>
        <v>44175</v>
      </c>
      <c r="AY21" s="137"/>
      <c r="AZ21" s="138">
        <f t="shared" si="16"/>
        <v>44175</v>
      </c>
      <c r="BA21" s="135" t="b">
        <f t="shared" si="17"/>
        <v>1</v>
      </c>
      <c r="BB21" s="135">
        <f t="shared" si="18"/>
        <v>44175</v>
      </c>
      <c r="BC21" s="135" t="str">
        <f t="shared" si="19"/>
        <v>no</v>
      </c>
      <c r="BD21" s="135" t="b">
        <f t="shared" si="20"/>
        <v>0</v>
      </c>
      <c r="BE21" s="139" t="s">
        <v>59</v>
      </c>
      <c r="BF21" s="136"/>
    </row>
    <row r="22" spans="1:58" s="126" customFormat="1" ht="154">
      <c r="A22" s="136"/>
      <c r="B22" s="134" t="s">
        <v>118</v>
      </c>
      <c r="C22" s="134"/>
      <c r="D22" s="131">
        <v>10096012</v>
      </c>
      <c r="E22" s="134"/>
      <c r="F22" s="131" t="s">
        <v>46</v>
      </c>
      <c r="G22" s="132">
        <v>44186</v>
      </c>
      <c r="H22" s="151">
        <v>44200</v>
      </c>
      <c r="I22" s="132">
        <v>44214</v>
      </c>
      <c r="J22" s="133">
        <v>44215</v>
      </c>
      <c r="K22" s="132">
        <v>44270</v>
      </c>
      <c r="L22" s="132">
        <v>44271</v>
      </c>
      <c r="M22" s="132" t="s">
        <v>48</v>
      </c>
      <c r="N22" s="132" t="s">
        <v>48</v>
      </c>
      <c r="O22" s="132"/>
      <c r="P22" s="132"/>
      <c r="Q22" s="134" t="s">
        <v>49</v>
      </c>
      <c r="R22" s="134" t="s">
        <v>50</v>
      </c>
      <c r="S22" s="134">
        <f t="shared" si="0"/>
        <v>79</v>
      </c>
      <c r="T22" s="134">
        <v>79</v>
      </c>
      <c r="U22" s="134">
        <v>0</v>
      </c>
      <c r="V22" s="134">
        <v>79</v>
      </c>
      <c r="W22" s="134"/>
      <c r="X22" s="134" t="s">
        <v>94</v>
      </c>
      <c r="Y22" s="134"/>
      <c r="Z22" s="134" t="s">
        <v>52</v>
      </c>
      <c r="AA22" s="134" t="s">
        <v>53</v>
      </c>
      <c r="AB22" s="134" t="s">
        <v>52</v>
      </c>
      <c r="AC22" s="134" t="s">
        <v>48</v>
      </c>
      <c r="AD22" s="134" t="s">
        <v>54</v>
      </c>
      <c r="AE22" s="134" t="s">
        <v>54</v>
      </c>
      <c r="AF22" s="134" t="s">
        <v>54</v>
      </c>
      <c r="AG22" s="134" t="s">
        <v>85</v>
      </c>
      <c r="AH22" s="134" t="s">
        <v>86</v>
      </c>
      <c r="AI22" s="134" t="s">
        <v>48</v>
      </c>
      <c r="AJ22" s="134"/>
      <c r="AK22" s="134"/>
      <c r="AL22" s="134" t="s">
        <v>57</v>
      </c>
      <c r="AM22" s="134"/>
      <c r="AN22" s="134"/>
      <c r="AO22" s="472"/>
      <c r="AP22" s="472"/>
      <c r="AQ22" s="472"/>
      <c r="AR22" s="135">
        <f>COUNTIF(B:B,B22)</f>
        <v>1</v>
      </c>
      <c r="AS22" s="135" t="str">
        <f t="shared" si="11"/>
        <v>2021_01_04_a</v>
      </c>
      <c r="AT22" s="136"/>
      <c r="AU22" s="135" t="str">
        <f t="shared" si="12"/>
        <v>2021</v>
      </c>
      <c r="AV22" s="135" t="str">
        <f t="shared" si="13"/>
        <v>01</v>
      </c>
      <c r="AW22" s="135" t="str">
        <f t="shared" si="14"/>
        <v>04</v>
      </c>
      <c r="AX22" s="135">
        <f t="shared" si="15"/>
        <v>44200</v>
      </c>
      <c r="AY22" s="137"/>
      <c r="AZ22" s="138">
        <f t="shared" si="16"/>
        <v>44200</v>
      </c>
      <c r="BA22" s="135" t="b">
        <f t="shared" si="17"/>
        <v>1</v>
      </c>
      <c r="BB22" s="135">
        <f t="shared" si="18"/>
        <v>44200</v>
      </c>
      <c r="BC22" s="135" t="str">
        <f t="shared" si="19"/>
        <v>no</v>
      </c>
      <c r="BD22" s="135" t="b">
        <f t="shared" si="20"/>
        <v>0</v>
      </c>
      <c r="BE22" s="139" t="s">
        <v>59</v>
      </c>
      <c r="BF22" s="136"/>
    </row>
    <row r="23" spans="1:58" s="126" customFormat="1" ht="154">
      <c r="A23" s="136"/>
      <c r="B23" s="134" t="s">
        <v>119</v>
      </c>
      <c r="C23" s="134"/>
      <c r="D23" s="152" t="s">
        <v>120</v>
      </c>
      <c r="E23" s="134"/>
      <c r="F23" s="131" t="s">
        <v>46</v>
      </c>
      <c r="G23" s="132" t="s">
        <v>121</v>
      </c>
      <c r="H23" s="151">
        <v>44207</v>
      </c>
      <c r="I23" s="132">
        <v>44221</v>
      </c>
      <c r="J23" s="133">
        <v>44223</v>
      </c>
      <c r="K23" s="132"/>
      <c r="L23" s="132"/>
      <c r="M23" s="132"/>
      <c r="N23" s="132"/>
      <c r="O23" s="132"/>
      <c r="P23" s="132"/>
      <c r="Q23" s="134" t="s">
        <v>49</v>
      </c>
      <c r="R23" s="134" t="s">
        <v>50</v>
      </c>
      <c r="S23" s="134">
        <f t="shared" si="0"/>
        <v>124</v>
      </c>
      <c r="T23" s="134">
        <v>124</v>
      </c>
      <c r="U23" s="134">
        <v>0</v>
      </c>
      <c r="V23" s="134">
        <v>124</v>
      </c>
      <c r="W23" s="134"/>
      <c r="X23" s="134"/>
      <c r="Y23" s="134"/>
      <c r="Z23" s="134" t="s">
        <v>52</v>
      </c>
      <c r="AA23" s="134" t="s">
        <v>53</v>
      </c>
      <c r="AB23" s="134"/>
      <c r="AC23" s="134"/>
      <c r="AD23" s="134"/>
      <c r="AE23" s="134"/>
      <c r="AF23" s="134"/>
      <c r="AG23" s="134" t="s">
        <v>85</v>
      </c>
      <c r="AH23" s="134" t="s">
        <v>86</v>
      </c>
      <c r="AI23" s="134"/>
      <c r="AJ23" s="134"/>
      <c r="AK23" s="134"/>
      <c r="AL23" s="134" t="s">
        <v>57</v>
      </c>
      <c r="AM23" s="134"/>
      <c r="AN23" s="134"/>
      <c r="AO23" s="472"/>
      <c r="AP23" s="472"/>
      <c r="AQ23" s="472"/>
      <c r="AR23" s="135">
        <f>COUNTIF(B:B,B23)</f>
        <v>1</v>
      </c>
      <c r="AS23" s="135" t="str">
        <f t="shared" si="11"/>
        <v>2021_01_11_a</v>
      </c>
      <c r="AT23" s="136"/>
      <c r="AU23" s="135" t="str">
        <f t="shared" si="12"/>
        <v>2021</v>
      </c>
      <c r="AV23" s="135" t="str">
        <f t="shared" si="13"/>
        <v>01</v>
      </c>
      <c r="AW23" s="135" t="str">
        <f t="shared" si="14"/>
        <v>11</v>
      </c>
      <c r="AX23" s="135">
        <f t="shared" si="15"/>
        <v>44207</v>
      </c>
      <c r="AY23" s="137"/>
      <c r="AZ23" s="138">
        <f t="shared" si="16"/>
        <v>44207</v>
      </c>
      <c r="BA23" s="135" t="b">
        <f t="shared" si="17"/>
        <v>1</v>
      </c>
      <c r="BB23" s="135">
        <f t="shared" si="18"/>
        <v>44207</v>
      </c>
      <c r="BC23" s="135" t="str">
        <f t="shared" si="19"/>
        <v>no</v>
      </c>
      <c r="BD23" s="135" t="b">
        <f t="shared" si="20"/>
        <v>0</v>
      </c>
      <c r="BE23" s="139" t="s">
        <v>59</v>
      </c>
      <c r="BF23" s="136"/>
    </row>
    <row r="24" spans="1:58" s="126" customFormat="1" ht="154">
      <c r="A24" s="136"/>
      <c r="B24" s="134" t="s">
        <v>122</v>
      </c>
      <c r="C24" s="134"/>
      <c r="D24" s="131">
        <v>10096668</v>
      </c>
      <c r="E24" s="134"/>
      <c r="F24" s="131" t="s">
        <v>46</v>
      </c>
      <c r="G24" s="132" t="s">
        <v>123</v>
      </c>
      <c r="H24" s="151">
        <v>44214</v>
      </c>
      <c r="I24" s="132">
        <v>44228</v>
      </c>
      <c r="J24" s="133">
        <v>44229</v>
      </c>
      <c r="K24" s="132"/>
      <c r="L24" s="132"/>
      <c r="M24" s="132"/>
      <c r="N24" s="132"/>
      <c r="O24" s="132"/>
      <c r="P24" s="132"/>
      <c r="Q24" s="134" t="s">
        <v>49</v>
      </c>
      <c r="R24" s="134" t="s">
        <v>50</v>
      </c>
      <c r="S24" s="134">
        <f t="shared" si="0"/>
        <v>96</v>
      </c>
      <c r="T24" s="134">
        <v>96</v>
      </c>
      <c r="U24" s="134">
        <v>0</v>
      </c>
      <c r="V24" s="134">
        <v>96</v>
      </c>
      <c r="W24" s="134"/>
      <c r="X24" s="134"/>
      <c r="Y24" s="134"/>
      <c r="Z24" s="134" t="s">
        <v>52</v>
      </c>
      <c r="AA24" s="134" t="s">
        <v>53</v>
      </c>
      <c r="AB24" s="134"/>
      <c r="AC24" s="134"/>
      <c r="AD24" s="134"/>
      <c r="AE24" s="134"/>
      <c r="AF24" s="134"/>
      <c r="AG24" s="134" t="s">
        <v>85</v>
      </c>
      <c r="AH24" s="134" t="s">
        <v>86</v>
      </c>
      <c r="AI24" s="134"/>
      <c r="AJ24" s="134"/>
      <c r="AK24" s="134"/>
      <c r="AL24" s="134" t="s">
        <v>57</v>
      </c>
      <c r="AM24" s="134"/>
      <c r="AN24" s="134"/>
      <c r="AO24" s="472"/>
      <c r="AP24" s="472"/>
      <c r="AQ24" s="472"/>
      <c r="AR24" s="135">
        <f>COUNTIF(B:B,B24)</f>
        <v>1</v>
      </c>
      <c r="AS24" s="135" t="str">
        <f t="shared" si="11"/>
        <v>2021_01_18_a</v>
      </c>
      <c r="AT24" s="136"/>
      <c r="AU24" s="135" t="str">
        <f t="shared" si="12"/>
        <v>2021</v>
      </c>
      <c r="AV24" s="135" t="str">
        <f t="shared" si="13"/>
        <v>01</v>
      </c>
      <c r="AW24" s="135" t="str">
        <f t="shared" si="14"/>
        <v>18</v>
      </c>
      <c r="AX24" s="135">
        <f t="shared" si="15"/>
        <v>44214</v>
      </c>
      <c r="AY24" s="137"/>
      <c r="AZ24" s="138">
        <f t="shared" si="16"/>
        <v>44214</v>
      </c>
      <c r="BA24" s="135" t="b">
        <f t="shared" si="17"/>
        <v>1</v>
      </c>
      <c r="BB24" s="135">
        <f t="shared" si="18"/>
        <v>44214</v>
      </c>
      <c r="BC24" s="135" t="str">
        <f t="shared" si="19"/>
        <v>no</v>
      </c>
      <c r="BD24" s="135" t="b">
        <f t="shared" si="20"/>
        <v>0</v>
      </c>
      <c r="BE24" s="139" t="s">
        <v>59</v>
      </c>
      <c r="BF24" s="136"/>
    </row>
    <row r="25" spans="1:58" s="126" customFormat="1" ht="154">
      <c r="A25" s="136"/>
      <c r="B25" s="134" t="s">
        <v>124</v>
      </c>
      <c r="C25" s="134"/>
      <c r="D25" s="131">
        <v>10096952</v>
      </c>
      <c r="E25" s="134"/>
      <c r="F25" s="131" t="s">
        <v>46</v>
      </c>
      <c r="G25" s="132" t="s">
        <v>125</v>
      </c>
      <c r="H25" s="151">
        <v>44223</v>
      </c>
      <c r="I25" s="132">
        <v>44236</v>
      </c>
      <c r="J25" s="133">
        <v>44237</v>
      </c>
      <c r="K25" s="132"/>
      <c r="L25" s="132"/>
      <c r="M25" s="132"/>
      <c r="N25" s="132"/>
      <c r="O25" s="132"/>
      <c r="P25" s="132"/>
      <c r="Q25" s="134" t="s">
        <v>49</v>
      </c>
      <c r="R25" s="134" t="s">
        <v>50</v>
      </c>
      <c r="S25" s="134">
        <f t="shared" si="0"/>
        <v>128</v>
      </c>
      <c r="T25" s="134">
        <v>128</v>
      </c>
      <c r="U25" s="134">
        <v>0</v>
      </c>
      <c r="V25" s="134">
        <v>128</v>
      </c>
      <c r="W25" s="134"/>
      <c r="X25" s="134"/>
      <c r="Y25" s="134"/>
      <c r="Z25" s="134" t="s">
        <v>52</v>
      </c>
      <c r="AA25" s="134" t="s">
        <v>53</v>
      </c>
      <c r="AB25" s="134"/>
      <c r="AC25" s="134"/>
      <c r="AD25" s="134"/>
      <c r="AE25" s="134"/>
      <c r="AF25" s="134"/>
      <c r="AG25" s="134" t="s">
        <v>85</v>
      </c>
      <c r="AH25" s="134" t="s">
        <v>86</v>
      </c>
      <c r="AI25" s="134"/>
      <c r="AJ25" s="134"/>
      <c r="AK25" s="134"/>
      <c r="AL25" s="134" t="s">
        <v>57</v>
      </c>
      <c r="AM25" s="134"/>
      <c r="AN25" s="134"/>
      <c r="AO25" s="472"/>
      <c r="AP25" s="472"/>
      <c r="AQ25" s="472"/>
      <c r="AR25" s="135">
        <f>COUNTIF(B:B,B25)</f>
        <v>1</v>
      </c>
      <c r="AS25" s="135" t="str">
        <f t="shared" si="11"/>
        <v>2021_01_27_a</v>
      </c>
      <c r="AT25" s="136"/>
      <c r="AU25" s="135" t="str">
        <f t="shared" si="12"/>
        <v>2021</v>
      </c>
      <c r="AV25" s="135" t="str">
        <f t="shared" si="13"/>
        <v>01</v>
      </c>
      <c r="AW25" s="135" t="str">
        <f t="shared" si="14"/>
        <v>27</v>
      </c>
      <c r="AX25" s="135">
        <f t="shared" si="15"/>
        <v>44223</v>
      </c>
      <c r="AY25" s="137"/>
      <c r="AZ25" s="138">
        <f t="shared" si="16"/>
        <v>44223</v>
      </c>
      <c r="BA25" s="135" t="b">
        <f t="shared" si="17"/>
        <v>1</v>
      </c>
      <c r="BB25" s="135">
        <f t="shared" si="18"/>
        <v>44223</v>
      </c>
      <c r="BC25" s="135" t="str">
        <f t="shared" si="19"/>
        <v>no</v>
      </c>
      <c r="BD25" s="135" t="b">
        <f t="shared" si="20"/>
        <v>0</v>
      </c>
      <c r="BE25" s="139" t="s">
        <v>59</v>
      </c>
      <c r="BF25" s="136"/>
    </row>
    <row r="26" spans="1:58" s="126" customFormat="1" ht="154">
      <c r="A26" s="136"/>
      <c r="B26" s="134" t="s">
        <v>126</v>
      </c>
      <c r="C26" s="134"/>
      <c r="D26" s="131">
        <v>10096984</v>
      </c>
      <c r="E26" s="134"/>
      <c r="F26" s="131" t="s">
        <v>46</v>
      </c>
      <c r="G26" s="132" t="s">
        <v>127</v>
      </c>
      <c r="H26" s="151">
        <v>44228</v>
      </c>
      <c r="I26" s="132">
        <v>44239</v>
      </c>
      <c r="J26" s="133">
        <v>44242</v>
      </c>
      <c r="K26" s="132"/>
      <c r="L26" s="132"/>
      <c r="M26" s="132"/>
      <c r="N26" s="132"/>
      <c r="O26" s="132"/>
      <c r="P26" s="132"/>
      <c r="Q26" s="134" t="s">
        <v>49</v>
      </c>
      <c r="R26" s="134" t="s">
        <v>50</v>
      </c>
      <c r="S26" s="134">
        <f t="shared" si="0"/>
        <v>111</v>
      </c>
      <c r="T26" s="134">
        <v>111</v>
      </c>
      <c r="U26" s="134">
        <v>0</v>
      </c>
      <c r="V26" s="134">
        <v>111</v>
      </c>
      <c r="W26" s="134"/>
      <c r="X26" s="134"/>
      <c r="Y26" s="134"/>
      <c r="Z26" s="134" t="s">
        <v>52</v>
      </c>
      <c r="AA26" s="134" t="s">
        <v>53</v>
      </c>
      <c r="AB26" s="134"/>
      <c r="AC26" s="134"/>
      <c r="AD26" s="134"/>
      <c r="AE26" s="134"/>
      <c r="AF26" s="134"/>
      <c r="AG26" s="134" t="s">
        <v>85</v>
      </c>
      <c r="AH26" s="134" t="s">
        <v>86</v>
      </c>
      <c r="AI26" s="134"/>
      <c r="AJ26" s="134"/>
      <c r="AK26" s="134"/>
      <c r="AL26" s="134" t="s">
        <v>57</v>
      </c>
      <c r="AM26" s="134"/>
      <c r="AN26" s="134"/>
      <c r="AO26" s="472"/>
      <c r="AP26" s="472"/>
      <c r="AQ26" s="472"/>
      <c r="AR26" s="135">
        <f>COUNTIF(B:B,B26)</f>
        <v>1</v>
      </c>
      <c r="AS26" s="135" t="str">
        <f t="shared" si="11"/>
        <v>2021_02_01_a</v>
      </c>
      <c r="AT26" s="136"/>
      <c r="AU26" s="135" t="str">
        <f t="shared" si="12"/>
        <v>2021</v>
      </c>
      <c r="AV26" s="135" t="str">
        <f t="shared" si="13"/>
        <v>02</v>
      </c>
      <c r="AW26" s="135" t="str">
        <f t="shared" si="14"/>
        <v>01</v>
      </c>
      <c r="AX26" s="135">
        <f t="shared" si="15"/>
        <v>44228</v>
      </c>
      <c r="AY26" s="137"/>
      <c r="AZ26" s="138">
        <f t="shared" si="16"/>
        <v>44228</v>
      </c>
      <c r="BA26" s="135" t="b">
        <f t="shared" si="17"/>
        <v>1</v>
      </c>
      <c r="BB26" s="135">
        <f t="shared" si="18"/>
        <v>44228</v>
      </c>
      <c r="BC26" s="135" t="str">
        <f t="shared" si="19"/>
        <v>no</v>
      </c>
      <c r="BD26" s="135" t="b">
        <f t="shared" si="20"/>
        <v>0</v>
      </c>
      <c r="BE26" s="139" t="s">
        <v>59</v>
      </c>
      <c r="BF26" s="136"/>
    </row>
    <row r="27" spans="1:58" s="126" customFormat="1" ht="154">
      <c r="A27" s="136"/>
      <c r="B27" s="134" t="s">
        <v>128</v>
      </c>
      <c r="C27" s="134"/>
      <c r="D27" s="131">
        <v>10097345</v>
      </c>
      <c r="E27" s="134"/>
      <c r="F27" s="131" t="s">
        <v>46</v>
      </c>
      <c r="G27" s="132" t="s">
        <v>129</v>
      </c>
      <c r="H27" s="151">
        <v>44235</v>
      </c>
      <c r="I27" s="132"/>
      <c r="J27" s="133">
        <v>44249</v>
      </c>
      <c r="K27" s="132"/>
      <c r="L27" s="132"/>
      <c r="M27" s="132"/>
      <c r="N27" s="132"/>
      <c r="O27" s="132"/>
      <c r="P27" s="132"/>
      <c r="Q27" s="134" t="s">
        <v>49</v>
      </c>
      <c r="R27" s="134" t="s">
        <v>50</v>
      </c>
      <c r="S27" s="134">
        <f t="shared" si="0"/>
        <v>133</v>
      </c>
      <c r="T27" s="134">
        <v>133</v>
      </c>
      <c r="U27" s="134">
        <v>0</v>
      </c>
      <c r="V27" s="134">
        <v>133</v>
      </c>
      <c r="W27" s="134"/>
      <c r="X27" s="134"/>
      <c r="Y27" s="134"/>
      <c r="Z27" s="134" t="s">
        <v>52</v>
      </c>
      <c r="AA27" s="134"/>
      <c r="AB27" s="134"/>
      <c r="AC27" s="134"/>
      <c r="AD27" s="134"/>
      <c r="AE27" s="134"/>
      <c r="AF27" s="134"/>
      <c r="AG27" s="134" t="s">
        <v>85</v>
      </c>
      <c r="AH27" s="134" t="s">
        <v>86</v>
      </c>
      <c r="AI27" s="134"/>
      <c r="AJ27" s="134"/>
      <c r="AK27" s="134"/>
      <c r="AL27" s="134" t="s">
        <v>57</v>
      </c>
      <c r="AM27" s="134"/>
      <c r="AN27" s="134"/>
      <c r="AO27" s="472"/>
      <c r="AP27" s="472"/>
      <c r="AQ27" s="472"/>
      <c r="AR27" s="135">
        <f>COUNTIF(B:B,B27)</f>
        <v>1</v>
      </c>
      <c r="AS27" s="135" t="str">
        <f t="shared" si="11"/>
        <v>2021_02_08_a</v>
      </c>
      <c r="AT27" s="136"/>
      <c r="AU27" s="135" t="str">
        <f t="shared" si="12"/>
        <v>2021</v>
      </c>
      <c r="AV27" s="135" t="str">
        <f t="shared" si="13"/>
        <v>02</v>
      </c>
      <c r="AW27" s="135" t="str">
        <f t="shared" si="14"/>
        <v>08</v>
      </c>
      <c r="AX27" s="135">
        <f t="shared" si="15"/>
        <v>44235</v>
      </c>
      <c r="AY27" s="137"/>
      <c r="AZ27" s="138">
        <f t="shared" si="16"/>
        <v>44235</v>
      </c>
      <c r="BA27" s="135" t="b">
        <f t="shared" si="17"/>
        <v>1</v>
      </c>
      <c r="BB27" s="135">
        <f t="shared" si="18"/>
        <v>44235</v>
      </c>
      <c r="BC27" s="135" t="str">
        <f t="shared" si="19"/>
        <v>no</v>
      </c>
      <c r="BD27" s="135" t="b">
        <f t="shared" si="20"/>
        <v>0</v>
      </c>
      <c r="BE27" s="139" t="s">
        <v>59</v>
      </c>
      <c r="BF27" s="136"/>
    </row>
    <row r="28" spans="1:58" s="126" customFormat="1" ht="154">
      <c r="A28" s="136"/>
      <c r="B28" s="134" t="s">
        <v>130</v>
      </c>
      <c r="C28" s="134"/>
      <c r="D28" s="131">
        <v>10097485</v>
      </c>
      <c r="E28" s="134"/>
      <c r="F28" s="131" t="s">
        <v>46</v>
      </c>
      <c r="G28" s="132" t="s">
        <v>131</v>
      </c>
      <c r="H28" s="151">
        <v>44242</v>
      </c>
      <c r="I28" s="132"/>
      <c r="J28" s="133">
        <v>44256</v>
      </c>
      <c r="K28" s="132"/>
      <c r="L28" s="132"/>
      <c r="M28" s="132"/>
      <c r="N28" s="132"/>
      <c r="O28" s="132"/>
      <c r="P28" s="132"/>
      <c r="Q28" s="134" t="s">
        <v>49</v>
      </c>
      <c r="R28" s="134" t="s">
        <v>50</v>
      </c>
      <c r="S28" s="134">
        <f t="shared" si="0"/>
        <v>125</v>
      </c>
      <c r="T28" s="134">
        <v>125</v>
      </c>
      <c r="U28" s="134">
        <v>0</v>
      </c>
      <c r="V28" s="134">
        <v>125</v>
      </c>
      <c r="W28" s="134"/>
      <c r="X28" s="134"/>
      <c r="Y28" s="134"/>
      <c r="Z28" s="134" t="s">
        <v>52</v>
      </c>
      <c r="AA28" s="134"/>
      <c r="AB28" s="134"/>
      <c r="AC28" s="134"/>
      <c r="AD28" s="134"/>
      <c r="AE28" s="134"/>
      <c r="AF28" s="134"/>
      <c r="AG28" s="134" t="s">
        <v>85</v>
      </c>
      <c r="AH28" s="134" t="s">
        <v>86</v>
      </c>
      <c r="AI28" s="134"/>
      <c r="AJ28" s="134"/>
      <c r="AK28" s="134"/>
      <c r="AL28" s="134" t="s">
        <v>57</v>
      </c>
      <c r="AM28" s="134"/>
      <c r="AN28" s="134"/>
      <c r="AO28" s="472"/>
      <c r="AP28" s="472"/>
      <c r="AQ28" s="472"/>
      <c r="AR28" s="135">
        <f>COUNTIF(B:B,B28)</f>
        <v>1</v>
      </c>
      <c r="AS28" s="135" t="str">
        <f t="shared" si="11"/>
        <v>2021_02_15_a</v>
      </c>
      <c r="AT28" s="136"/>
      <c r="AU28" s="135" t="str">
        <f t="shared" si="12"/>
        <v>2021</v>
      </c>
      <c r="AV28" s="135" t="str">
        <f t="shared" si="13"/>
        <v>02</v>
      </c>
      <c r="AW28" s="135" t="str">
        <f t="shared" si="14"/>
        <v>15</v>
      </c>
      <c r="AX28" s="135">
        <f t="shared" si="15"/>
        <v>44242</v>
      </c>
      <c r="AY28" s="137"/>
      <c r="AZ28" s="138">
        <f t="shared" si="16"/>
        <v>44242</v>
      </c>
      <c r="BA28" s="135" t="b">
        <f t="shared" si="17"/>
        <v>1</v>
      </c>
      <c r="BB28" s="135">
        <f t="shared" si="18"/>
        <v>44242</v>
      </c>
      <c r="BC28" s="135" t="str">
        <f t="shared" si="19"/>
        <v>no</v>
      </c>
      <c r="BD28" s="135" t="b">
        <f t="shared" si="20"/>
        <v>0</v>
      </c>
      <c r="BE28" s="139" t="s">
        <v>59</v>
      </c>
      <c r="BF28" s="136"/>
    </row>
    <row r="29" spans="1:58" s="126" customFormat="1" ht="154">
      <c r="A29" s="136"/>
      <c r="B29" s="134" t="s">
        <v>132</v>
      </c>
      <c r="C29" s="134"/>
      <c r="D29" s="131">
        <v>10097706</v>
      </c>
      <c r="E29" s="134"/>
      <c r="F29" s="131" t="s">
        <v>46</v>
      </c>
      <c r="G29" s="132" t="s">
        <v>133</v>
      </c>
      <c r="H29" s="151">
        <v>44249</v>
      </c>
      <c r="I29" s="132"/>
      <c r="J29" s="133">
        <v>44263</v>
      </c>
      <c r="K29" s="132"/>
      <c r="L29" s="132"/>
      <c r="M29" s="132"/>
      <c r="N29" s="132"/>
      <c r="O29" s="132"/>
      <c r="P29" s="132"/>
      <c r="Q29" s="134" t="s">
        <v>49</v>
      </c>
      <c r="R29" s="134" t="s">
        <v>50</v>
      </c>
      <c r="S29" s="134">
        <f t="shared" si="0"/>
        <v>95</v>
      </c>
      <c r="T29" s="134">
        <v>95</v>
      </c>
      <c r="U29" s="134">
        <v>0</v>
      </c>
      <c r="V29" s="134">
        <v>95</v>
      </c>
      <c r="W29" s="134"/>
      <c r="X29" s="134"/>
      <c r="Y29" s="134"/>
      <c r="Z29" s="134" t="s">
        <v>52</v>
      </c>
      <c r="AA29" s="134"/>
      <c r="AB29" s="134"/>
      <c r="AC29" s="134"/>
      <c r="AD29" s="134"/>
      <c r="AE29" s="134"/>
      <c r="AF29" s="134"/>
      <c r="AG29" s="134" t="s">
        <v>85</v>
      </c>
      <c r="AH29" s="134" t="s">
        <v>86</v>
      </c>
      <c r="AI29" s="134"/>
      <c r="AJ29" s="134"/>
      <c r="AK29" s="134"/>
      <c r="AL29" s="134" t="s">
        <v>57</v>
      </c>
      <c r="AM29" s="134"/>
      <c r="AN29" s="134"/>
      <c r="AO29" s="472"/>
      <c r="AP29" s="472"/>
      <c r="AQ29" s="472"/>
      <c r="AR29" s="135">
        <f>COUNTIF(B:B,B29)</f>
        <v>1</v>
      </c>
      <c r="AS29" s="135" t="str">
        <f t="shared" si="11"/>
        <v>2021_02_22_a</v>
      </c>
      <c r="AT29" s="136"/>
      <c r="AU29" s="135" t="str">
        <f t="shared" si="12"/>
        <v>2021</v>
      </c>
      <c r="AV29" s="135" t="str">
        <f t="shared" si="13"/>
        <v>02</v>
      </c>
      <c r="AW29" s="135" t="str">
        <f t="shared" si="14"/>
        <v>22</v>
      </c>
      <c r="AX29" s="135">
        <f t="shared" si="15"/>
        <v>44249</v>
      </c>
      <c r="AY29" s="137"/>
      <c r="AZ29" s="138">
        <f t="shared" si="16"/>
        <v>44249</v>
      </c>
      <c r="BA29" s="135" t="b">
        <f t="shared" si="17"/>
        <v>1</v>
      </c>
      <c r="BB29" s="135">
        <f t="shared" si="18"/>
        <v>44249</v>
      </c>
      <c r="BC29" s="135" t="str">
        <f t="shared" si="19"/>
        <v>no</v>
      </c>
      <c r="BD29" s="135" t="b">
        <f t="shared" si="20"/>
        <v>0</v>
      </c>
      <c r="BE29" s="139" t="s">
        <v>59</v>
      </c>
      <c r="BF29" s="136"/>
    </row>
    <row r="30" spans="1:58" s="126" customFormat="1" ht="154">
      <c r="A30" s="136"/>
      <c r="B30" s="134" t="s">
        <v>134</v>
      </c>
      <c r="C30" s="134"/>
      <c r="D30" s="131">
        <v>10098220</v>
      </c>
      <c r="E30" s="134"/>
      <c r="F30" s="131" t="s">
        <v>46</v>
      </c>
      <c r="G30" s="132" t="s">
        <v>135</v>
      </c>
      <c r="H30" s="151">
        <v>44263</v>
      </c>
      <c r="I30" s="132"/>
      <c r="J30" s="133">
        <v>44277</v>
      </c>
      <c r="K30" s="132"/>
      <c r="L30" s="132"/>
      <c r="M30" s="132"/>
      <c r="N30" s="132"/>
      <c r="O30" s="132"/>
      <c r="P30" s="132"/>
      <c r="Q30" s="134" t="s">
        <v>49</v>
      </c>
      <c r="R30" s="134" t="s">
        <v>50</v>
      </c>
      <c r="S30" s="134">
        <f t="shared" si="0"/>
        <v>92</v>
      </c>
      <c r="T30" s="134">
        <v>92</v>
      </c>
      <c r="U30" s="134">
        <v>0</v>
      </c>
      <c r="V30" s="134">
        <v>92</v>
      </c>
      <c r="W30" s="134"/>
      <c r="X30" s="134"/>
      <c r="Y30" s="134"/>
      <c r="Z30" s="134" t="s">
        <v>52</v>
      </c>
      <c r="AA30" s="134"/>
      <c r="AB30" s="134"/>
      <c r="AC30" s="134"/>
      <c r="AD30" s="134"/>
      <c r="AE30" s="134"/>
      <c r="AF30" s="134"/>
      <c r="AG30" s="134" t="s">
        <v>85</v>
      </c>
      <c r="AH30" s="134" t="s">
        <v>86</v>
      </c>
      <c r="AI30" s="134"/>
      <c r="AJ30" s="134"/>
      <c r="AK30" s="134"/>
      <c r="AL30" s="134" t="s">
        <v>57</v>
      </c>
      <c r="AM30" s="134"/>
      <c r="AN30" s="134"/>
      <c r="AO30" s="472"/>
      <c r="AP30" s="472"/>
      <c r="AQ30" s="472"/>
      <c r="AR30" s="135">
        <f>COUNTIF(B:B,B30)</f>
        <v>1</v>
      </c>
      <c r="AS30" s="135" t="str">
        <f t="shared" si="11"/>
        <v>2021_03_08_a</v>
      </c>
      <c r="AT30" s="136"/>
      <c r="AU30" s="135" t="str">
        <f t="shared" si="12"/>
        <v>2021</v>
      </c>
      <c r="AV30" s="135" t="str">
        <f t="shared" si="13"/>
        <v>03</v>
      </c>
      <c r="AW30" s="135" t="str">
        <f t="shared" si="14"/>
        <v>08</v>
      </c>
      <c r="AX30" s="135">
        <f t="shared" si="15"/>
        <v>44263</v>
      </c>
      <c r="AY30" s="137"/>
      <c r="AZ30" s="138">
        <f t="shared" si="16"/>
        <v>44263</v>
      </c>
      <c r="BA30" s="135" t="b">
        <f t="shared" si="17"/>
        <v>1</v>
      </c>
      <c r="BB30" s="135">
        <f t="shared" si="18"/>
        <v>44263</v>
      </c>
      <c r="BC30" s="135" t="str">
        <f t="shared" si="19"/>
        <v>no</v>
      </c>
      <c r="BD30" s="135" t="b">
        <f t="shared" si="20"/>
        <v>0</v>
      </c>
      <c r="BE30" s="139" t="s">
        <v>59</v>
      </c>
      <c r="BF30" s="136"/>
    </row>
    <row r="31" spans="1:58" s="126" customFormat="1" ht="154">
      <c r="A31" s="136"/>
      <c r="B31" s="134" t="s">
        <v>136</v>
      </c>
      <c r="C31" s="134"/>
      <c r="D31" s="131">
        <v>10099380</v>
      </c>
      <c r="E31" s="134"/>
      <c r="F31" s="131" t="s">
        <v>46</v>
      </c>
      <c r="G31" s="132" t="s">
        <v>137</v>
      </c>
      <c r="H31" s="151">
        <v>44277</v>
      </c>
      <c r="I31" s="132"/>
      <c r="J31" s="133">
        <v>44292</v>
      </c>
      <c r="K31" s="132"/>
      <c r="L31" s="132"/>
      <c r="M31" s="132"/>
      <c r="N31" s="132"/>
      <c r="O31" s="132"/>
      <c r="P31" s="132"/>
      <c r="Q31" s="134" t="s">
        <v>49</v>
      </c>
      <c r="R31" s="134" t="s">
        <v>50</v>
      </c>
      <c r="S31" s="134">
        <f t="shared" si="0"/>
        <v>132</v>
      </c>
      <c r="T31" s="134">
        <v>132</v>
      </c>
      <c r="U31" s="134">
        <v>0</v>
      </c>
      <c r="V31" s="134">
        <v>132</v>
      </c>
      <c r="W31" s="134"/>
      <c r="X31" s="134"/>
      <c r="Y31" s="134"/>
      <c r="Z31" s="134" t="s">
        <v>52</v>
      </c>
      <c r="AA31" s="134"/>
      <c r="AB31" s="134"/>
      <c r="AC31" s="134"/>
      <c r="AD31" s="134"/>
      <c r="AE31" s="134"/>
      <c r="AF31" s="134"/>
      <c r="AG31" s="134" t="s">
        <v>85</v>
      </c>
      <c r="AH31" s="134" t="s">
        <v>86</v>
      </c>
      <c r="AI31" s="134"/>
      <c r="AJ31" s="134"/>
      <c r="AK31" s="134"/>
      <c r="AL31" s="134" t="s">
        <v>57</v>
      </c>
      <c r="AM31" s="134"/>
      <c r="AN31" s="134"/>
      <c r="AO31" s="472"/>
      <c r="AP31" s="472"/>
      <c r="AQ31" s="472"/>
      <c r="AR31" s="135">
        <f>COUNTIF(B:B,B31)</f>
        <v>1</v>
      </c>
      <c r="AS31" s="135" t="str">
        <f t="shared" si="11"/>
        <v>2021_03_22_a</v>
      </c>
      <c r="AT31" s="136"/>
      <c r="AU31" s="135" t="str">
        <f t="shared" si="12"/>
        <v>2021</v>
      </c>
      <c r="AV31" s="135" t="str">
        <f t="shared" si="13"/>
        <v>03</v>
      </c>
      <c r="AW31" s="135" t="str">
        <f t="shared" si="14"/>
        <v>22</v>
      </c>
      <c r="AX31" s="135">
        <f t="shared" si="15"/>
        <v>44277</v>
      </c>
      <c r="AY31" s="137"/>
      <c r="AZ31" s="138">
        <f t="shared" si="16"/>
        <v>44277</v>
      </c>
      <c r="BA31" s="135" t="b">
        <f t="shared" si="17"/>
        <v>1</v>
      </c>
      <c r="BB31" s="135">
        <f t="shared" si="18"/>
        <v>44277</v>
      </c>
      <c r="BC31" s="135" t="str">
        <f t="shared" si="19"/>
        <v>no</v>
      </c>
      <c r="BD31" s="135" t="b">
        <f t="shared" si="20"/>
        <v>0</v>
      </c>
      <c r="BE31" s="139" t="s">
        <v>59</v>
      </c>
      <c r="BF31" s="136"/>
    </row>
    <row r="32" spans="1:58" s="126" customFormat="1" ht="154">
      <c r="A32" s="136"/>
      <c r="B32" s="134" t="s">
        <v>138</v>
      </c>
      <c r="C32" s="134"/>
      <c r="D32" s="131">
        <v>10100305</v>
      </c>
      <c r="E32" s="134"/>
      <c r="F32" s="131" t="s">
        <v>46</v>
      </c>
      <c r="G32" s="132" t="s">
        <v>139</v>
      </c>
      <c r="H32" s="151">
        <v>44298</v>
      </c>
      <c r="I32" s="132"/>
      <c r="J32" s="133">
        <v>44312</v>
      </c>
      <c r="K32" s="132"/>
      <c r="L32" s="132"/>
      <c r="M32" s="132"/>
      <c r="N32" s="132"/>
      <c r="O32" s="132"/>
      <c r="P32" s="132"/>
      <c r="Q32" s="134" t="s">
        <v>82</v>
      </c>
      <c r="R32" s="134" t="s">
        <v>50</v>
      </c>
      <c r="S32" s="134">
        <f t="shared" si="0"/>
        <v>164</v>
      </c>
      <c r="T32" s="134">
        <v>164</v>
      </c>
      <c r="U32" s="134">
        <v>0</v>
      </c>
      <c r="V32" s="134">
        <v>164</v>
      </c>
      <c r="W32" s="134"/>
      <c r="X32" s="134"/>
      <c r="Y32" s="134"/>
      <c r="Z32" s="134" t="s">
        <v>52</v>
      </c>
      <c r="AA32" s="134"/>
      <c r="AB32" s="134"/>
      <c r="AC32" s="134"/>
      <c r="AD32" s="134"/>
      <c r="AE32" s="134"/>
      <c r="AF32" s="134"/>
      <c r="AG32" s="134" t="s">
        <v>85</v>
      </c>
      <c r="AH32" s="134" t="s">
        <v>86</v>
      </c>
      <c r="AI32" s="134"/>
      <c r="AJ32" s="134"/>
      <c r="AK32" s="134"/>
      <c r="AL32" s="134" t="s">
        <v>57</v>
      </c>
      <c r="AM32" s="134"/>
      <c r="AN32" s="134"/>
      <c r="AO32" s="472"/>
      <c r="AP32" s="472"/>
      <c r="AQ32" s="472"/>
      <c r="AR32" s="135">
        <f>COUNTIF(B:B,B32)</f>
        <v>1</v>
      </c>
      <c r="AS32" s="135" t="str">
        <f t="shared" si="11"/>
        <v>2021_04_12_a</v>
      </c>
      <c r="AT32" s="136"/>
      <c r="AU32" s="135" t="str">
        <f t="shared" si="12"/>
        <v>2021</v>
      </c>
      <c r="AV32" s="135" t="str">
        <f t="shared" si="13"/>
        <v>04</v>
      </c>
      <c r="AW32" s="135" t="str">
        <f t="shared" si="14"/>
        <v>12</v>
      </c>
      <c r="AX32" s="135">
        <f t="shared" si="15"/>
        <v>44298</v>
      </c>
      <c r="AY32" s="137"/>
      <c r="AZ32" s="138">
        <f t="shared" si="16"/>
        <v>44298</v>
      </c>
      <c r="BA32" s="135" t="b">
        <f t="shared" si="17"/>
        <v>1</v>
      </c>
      <c r="BB32" s="135">
        <f t="shared" si="18"/>
        <v>44298</v>
      </c>
      <c r="BC32" s="135" t="str">
        <f t="shared" si="19"/>
        <v>no</v>
      </c>
      <c r="BD32" s="135" t="b">
        <f t="shared" si="20"/>
        <v>0</v>
      </c>
      <c r="BE32" s="139" t="s">
        <v>59</v>
      </c>
      <c r="BF32" s="136"/>
    </row>
    <row r="33" spans="1:58" s="126" customFormat="1" ht="154">
      <c r="A33" s="136"/>
      <c r="B33" s="134" t="s">
        <v>140</v>
      </c>
      <c r="C33" s="134"/>
      <c r="D33" s="131">
        <v>10100811</v>
      </c>
      <c r="E33" s="134"/>
      <c r="F33" s="131" t="s">
        <v>46</v>
      </c>
      <c r="G33" s="132" t="s">
        <v>141</v>
      </c>
      <c r="H33" s="151">
        <v>44305</v>
      </c>
      <c r="I33" s="132"/>
      <c r="J33" s="133">
        <v>44316</v>
      </c>
      <c r="K33" s="132"/>
      <c r="L33" s="132"/>
      <c r="M33" s="132"/>
      <c r="N33" s="132"/>
      <c r="O33" s="132"/>
      <c r="P33" s="132"/>
      <c r="Q33" s="134" t="s">
        <v>82</v>
      </c>
      <c r="R33" s="134" t="s">
        <v>50</v>
      </c>
      <c r="S33" s="134">
        <f t="shared" si="0"/>
        <v>74</v>
      </c>
      <c r="T33" s="134">
        <v>74</v>
      </c>
      <c r="U33" s="134">
        <v>0</v>
      </c>
      <c r="V33" s="134">
        <v>74</v>
      </c>
      <c r="W33" s="134"/>
      <c r="X33" s="134"/>
      <c r="Y33" s="134"/>
      <c r="Z33" s="134" t="s">
        <v>52</v>
      </c>
      <c r="AA33" s="134"/>
      <c r="AB33" s="134"/>
      <c r="AC33" s="134"/>
      <c r="AD33" s="134"/>
      <c r="AE33" s="134"/>
      <c r="AF33" s="134"/>
      <c r="AG33" s="134" t="s">
        <v>85</v>
      </c>
      <c r="AH33" s="134" t="s">
        <v>86</v>
      </c>
      <c r="AI33" s="134"/>
      <c r="AJ33" s="134"/>
      <c r="AK33" s="134"/>
      <c r="AL33" s="134" t="s">
        <v>57</v>
      </c>
      <c r="AM33" s="134"/>
      <c r="AN33" s="134"/>
      <c r="AO33" s="472"/>
      <c r="AP33" s="472"/>
      <c r="AQ33" s="472"/>
      <c r="AR33" s="135">
        <f>COUNTIF(B:B,B33)</f>
        <v>1</v>
      </c>
      <c r="AS33" s="135" t="str">
        <f t="shared" si="11"/>
        <v>2021_04_19_a</v>
      </c>
      <c r="AT33" s="136"/>
      <c r="AU33" s="135" t="str">
        <f t="shared" si="12"/>
        <v>2021</v>
      </c>
      <c r="AV33" s="135" t="str">
        <f t="shared" si="13"/>
        <v>04</v>
      </c>
      <c r="AW33" s="135" t="str">
        <f t="shared" si="14"/>
        <v>19</v>
      </c>
      <c r="AX33" s="135">
        <f t="shared" si="15"/>
        <v>44305</v>
      </c>
      <c r="AY33" s="137"/>
      <c r="AZ33" s="138">
        <f t="shared" si="16"/>
        <v>44305</v>
      </c>
      <c r="BA33" s="135" t="b">
        <f t="shared" si="17"/>
        <v>1</v>
      </c>
      <c r="BB33" s="135">
        <f t="shared" si="18"/>
        <v>44305</v>
      </c>
      <c r="BC33" s="135" t="str">
        <f t="shared" si="19"/>
        <v>no</v>
      </c>
      <c r="BD33" s="135" t="b">
        <f t="shared" si="20"/>
        <v>0</v>
      </c>
      <c r="BE33" s="139" t="s">
        <v>59</v>
      </c>
      <c r="BF33" s="136"/>
    </row>
    <row r="34" spans="1:58" s="126" customFormat="1" ht="154">
      <c r="A34" s="136"/>
      <c r="B34" s="134" t="s">
        <v>142</v>
      </c>
      <c r="C34" s="134"/>
      <c r="D34" s="131">
        <v>10100918</v>
      </c>
      <c r="E34" s="134"/>
      <c r="F34" s="131" t="s">
        <v>46</v>
      </c>
      <c r="G34" s="132" t="s">
        <v>143</v>
      </c>
      <c r="H34" s="151">
        <v>44312</v>
      </c>
      <c r="I34" s="132"/>
      <c r="J34" s="133">
        <v>44326</v>
      </c>
      <c r="K34" s="132"/>
      <c r="L34" s="132"/>
      <c r="M34" s="132"/>
      <c r="N34" s="132"/>
      <c r="O34" s="132"/>
      <c r="P34" s="132"/>
      <c r="Q34" s="134" t="s">
        <v>82</v>
      </c>
      <c r="R34" s="134" t="s">
        <v>50</v>
      </c>
      <c r="S34" s="134">
        <f t="shared" si="0"/>
        <v>90</v>
      </c>
      <c r="T34" s="134">
        <v>90</v>
      </c>
      <c r="U34" s="134">
        <v>0</v>
      </c>
      <c r="V34" s="134">
        <v>90</v>
      </c>
      <c r="W34" s="134"/>
      <c r="X34" s="134"/>
      <c r="Y34" s="134"/>
      <c r="Z34" s="134" t="s">
        <v>52</v>
      </c>
      <c r="AA34" s="134"/>
      <c r="AB34" s="134"/>
      <c r="AC34" s="134"/>
      <c r="AD34" s="134"/>
      <c r="AE34" s="134"/>
      <c r="AF34" s="134"/>
      <c r="AG34" s="134" t="s">
        <v>85</v>
      </c>
      <c r="AH34" s="134" t="s">
        <v>86</v>
      </c>
      <c r="AI34" s="134"/>
      <c r="AJ34" s="134"/>
      <c r="AK34" s="134"/>
      <c r="AL34" s="134" t="s">
        <v>57</v>
      </c>
      <c r="AM34" s="134"/>
      <c r="AN34" s="134"/>
      <c r="AO34" s="472"/>
      <c r="AP34" s="472"/>
      <c r="AQ34" s="472"/>
      <c r="AR34" s="135">
        <f>COUNTIF(B:B,B34)</f>
        <v>1</v>
      </c>
      <c r="AS34" s="135" t="str">
        <f t="shared" si="11"/>
        <v>2021_04_26_a</v>
      </c>
      <c r="AT34" s="136"/>
      <c r="AU34" s="135" t="str">
        <f t="shared" si="12"/>
        <v>2021</v>
      </c>
      <c r="AV34" s="135" t="str">
        <f t="shared" si="13"/>
        <v>04</v>
      </c>
      <c r="AW34" s="135" t="str">
        <f t="shared" si="14"/>
        <v>26</v>
      </c>
      <c r="AX34" s="135">
        <f t="shared" si="15"/>
        <v>44312</v>
      </c>
      <c r="AY34" s="137"/>
      <c r="AZ34" s="138">
        <f t="shared" si="16"/>
        <v>44312</v>
      </c>
      <c r="BA34" s="135" t="b">
        <f t="shared" si="17"/>
        <v>1</v>
      </c>
      <c r="BB34" s="135">
        <f t="shared" si="18"/>
        <v>44312</v>
      </c>
      <c r="BC34" s="135" t="str">
        <f t="shared" si="19"/>
        <v>no</v>
      </c>
      <c r="BD34" s="135" t="b">
        <f t="shared" si="20"/>
        <v>0</v>
      </c>
      <c r="BE34" s="139" t="s">
        <v>59</v>
      </c>
      <c r="BF34" s="136"/>
    </row>
    <row r="35" spans="1:58" s="126" customFormat="1" ht="154">
      <c r="A35" s="136"/>
      <c r="B35" s="134" t="s">
        <v>144</v>
      </c>
      <c r="C35" s="134"/>
      <c r="D35" s="131">
        <v>10101156</v>
      </c>
      <c r="E35" s="134"/>
      <c r="F35" s="131" t="s">
        <v>46</v>
      </c>
      <c r="G35" s="132" t="s">
        <v>145</v>
      </c>
      <c r="H35" s="151">
        <v>44319</v>
      </c>
      <c r="I35" s="132"/>
      <c r="J35" s="133">
        <v>44334</v>
      </c>
      <c r="K35" s="132"/>
      <c r="L35" s="132"/>
      <c r="M35" s="132"/>
      <c r="N35" s="132"/>
      <c r="O35" s="132"/>
      <c r="P35" s="132"/>
      <c r="Q35" s="134" t="s">
        <v>82</v>
      </c>
      <c r="R35" s="134" t="s">
        <v>50</v>
      </c>
      <c r="S35" s="134">
        <f t="shared" ref="S35:S51" si="21">U35+V35</f>
        <v>98</v>
      </c>
      <c r="T35" s="134">
        <v>98</v>
      </c>
      <c r="U35" s="134">
        <v>0</v>
      </c>
      <c r="V35" s="134">
        <v>98</v>
      </c>
      <c r="W35" s="134"/>
      <c r="X35" s="134"/>
      <c r="Y35" s="134"/>
      <c r="Z35" s="134" t="s">
        <v>52</v>
      </c>
      <c r="AA35" s="134"/>
      <c r="AB35" s="134"/>
      <c r="AC35" s="134"/>
      <c r="AD35" s="134"/>
      <c r="AE35" s="134"/>
      <c r="AF35" s="134"/>
      <c r="AG35" s="134" t="s">
        <v>85</v>
      </c>
      <c r="AH35" s="134" t="s">
        <v>86</v>
      </c>
      <c r="AI35" s="134"/>
      <c r="AJ35" s="134"/>
      <c r="AK35" s="134"/>
      <c r="AL35" s="134" t="s">
        <v>57</v>
      </c>
      <c r="AM35" s="134"/>
      <c r="AN35" s="134"/>
      <c r="AO35" s="472"/>
      <c r="AP35" s="472"/>
      <c r="AQ35" s="472"/>
      <c r="AR35" s="135">
        <f>COUNTIF(B:B,B35)</f>
        <v>1</v>
      </c>
      <c r="AS35" s="135" t="str">
        <f t="shared" si="11"/>
        <v>2021_05_03_a</v>
      </c>
      <c r="AT35" s="136"/>
      <c r="AU35" s="135" t="str">
        <f t="shared" si="12"/>
        <v>2021</v>
      </c>
      <c r="AV35" s="135" t="str">
        <f t="shared" si="13"/>
        <v>05</v>
      </c>
      <c r="AW35" s="135" t="str">
        <f t="shared" si="14"/>
        <v>03</v>
      </c>
      <c r="AX35" s="135">
        <f t="shared" si="15"/>
        <v>44319</v>
      </c>
      <c r="AY35" s="137"/>
      <c r="AZ35" s="138">
        <f t="shared" si="16"/>
        <v>44319</v>
      </c>
      <c r="BA35" s="135" t="b">
        <f t="shared" si="17"/>
        <v>1</v>
      </c>
      <c r="BB35" s="135">
        <f t="shared" si="18"/>
        <v>44319</v>
      </c>
      <c r="BC35" s="135" t="str">
        <f t="shared" si="19"/>
        <v>no</v>
      </c>
      <c r="BD35" s="135" t="b">
        <f t="shared" si="20"/>
        <v>0</v>
      </c>
      <c r="BE35" s="139" t="s">
        <v>59</v>
      </c>
      <c r="BF35" s="136"/>
    </row>
    <row r="36" spans="1:58" s="126" customFormat="1" ht="154">
      <c r="A36" s="136"/>
      <c r="B36" s="134" t="s">
        <v>146</v>
      </c>
      <c r="C36" s="134"/>
      <c r="D36" s="131">
        <v>10102082</v>
      </c>
      <c r="E36" s="134"/>
      <c r="F36" s="131" t="s">
        <v>46</v>
      </c>
      <c r="G36" s="132" t="s">
        <v>147</v>
      </c>
      <c r="H36" s="151">
        <v>44340</v>
      </c>
      <c r="I36" s="132"/>
      <c r="J36" s="133">
        <v>44354</v>
      </c>
      <c r="K36" s="132"/>
      <c r="L36" s="132"/>
      <c r="M36" s="132"/>
      <c r="N36" s="132"/>
      <c r="O36" s="132"/>
      <c r="P36" s="132"/>
      <c r="Q36" s="134" t="s">
        <v>82</v>
      </c>
      <c r="R36" s="134" t="s">
        <v>50</v>
      </c>
      <c r="S36" s="134">
        <f t="shared" si="21"/>
        <v>154</v>
      </c>
      <c r="T36" s="134">
        <v>154</v>
      </c>
      <c r="U36" s="134">
        <v>0</v>
      </c>
      <c r="V36" s="134">
        <v>154</v>
      </c>
      <c r="W36" s="134"/>
      <c r="X36" s="134"/>
      <c r="Y36" s="134"/>
      <c r="Z36" s="134" t="s">
        <v>52</v>
      </c>
      <c r="AA36" s="134"/>
      <c r="AB36" s="134"/>
      <c r="AC36" s="134"/>
      <c r="AD36" s="134"/>
      <c r="AE36" s="134"/>
      <c r="AF36" s="134"/>
      <c r="AG36" s="134" t="s">
        <v>85</v>
      </c>
      <c r="AH36" s="134" t="s">
        <v>86</v>
      </c>
      <c r="AI36" s="134"/>
      <c r="AJ36" s="134"/>
      <c r="AK36" s="134"/>
      <c r="AL36" s="134" t="s">
        <v>57</v>
      </c>
      <c r="AM36" s="134"/>
      <c r="AN36" s="134"/>
      <c r="AO36" s="472"/>
      <c r="AP36" s="472"/>
      <c r="AQ36" s="472"/>
      <c r="AR36" s="135">
        <f>COUNTIF(B:B,B36)</f>
        <v>1</v>
      </c>
      <c r="AS36" s="135" t="str">
        <f t="shared" si="11"/>
        <v>2021_05_24_a</v>
      </c>
      <c r="AT36" s="136"/>
      <c r="AU36" s="135" t="str">
        <f t="shared" si="12"/>
        <v>2021</v>
      </c>
      <c r="AV36" s="135" t="str">
        <f t="shared" si="13"/>
        <v>05</v>
      </c>
      <c r="AW36" s="135" t="str">
        <f t="shared" si="14"/>
        <v>24</v>
      </c>
      <c r="AX36" s="135">
        <f t="shared" si="15"/>
        <v>44340</v>
      </c>
      <c r="AY36" s="137"/>
      <c r="AZ36" s="138">
        <f t="shared" si="16"/>
        <v>44340</v>
      </c>
      <c r="BA36" s="135" t="b">
        <f t="shared" si="17"/>
        <v>1</v>
      </c>
      <c r="BB36" s="135">
        <f t="shared" si="18"/>
        <v>44340</v>
      </c>
      <c r="BC36" s="135" t="str">
        <f t="shared" si="19"/>
        <v>no</v>
      </c>
      <c r="BD36" s="135" t="b">
        <f t="shared" si="20"/>
        <v>0</v>
      </c>
      <c r="BE36" s="139" t="s">
        <v>59</v>
      </c>
      <c r="BF36" s="136"/>
    </row>
    <row r="37" spans="1:58" s="126" customFormat="1" ht="154">
      <c r="A37" s="136"/>
      <c r="B37" s="134" t="s">
        <v>148</v>
      </c>
      <c r="C37" s="134"/>
      <c r="D37" s="131" t="s">
        <v>149</v>
      </c>
      <c r="E37" s="134"/>
      <c r="F37" s="131" t="s">
        <v>46</v>
      </c>
      <c r="G37" s="132" t="s">
        <v>150</v>
      </c>
      <c r="H37" s="151">
        <v>44347</v>
      </c>
      <c r="I37" s="132"/>
      <c r="J37" s="133">
        <v>44361</v>
      </c>
      <c r="K37" s="132"/>
      <c r="L37" s="132"/>
      <c r="M37" s="132"/>
      <c r="N37" s="132"/>
      <c r="O37" s="132"/>
      <c r="P37" s="132"/>
      <c r="Q37" s="134" t="s">
        <v>82</v>
      </c>
      <c r="R37" s="134" t="s">
        <v>50</v>
      </c>
      <c r="S37" s="134">
        <f t="shared" si="21"/>
        <v>194</v>
      </c>
      <c r="T37" s="134">
        <v>194</v>
      </c>
      <c r="U37" s="134">
        <v>0</v>
      </c>
      <c r="V37" s="134">
        <v>194</v>
      </c>
      <c r="W37" s="134"/>
      <c r="X37" s="134"/>
      <c r="Y37" s="134"/>
      <c r="Z37" s="134" t="s">
        <v>52</v>
      </c>
      <c r="AA37" s="134"/>
      <c r="AB37" s="134"/>
      <c r="AC37" s="134"/>
      <c r="AD37" s="134"/>
      <c r="AE37" s="134"/>
      <c r="AF37" s="134"/>
      <c r="AG37" s="134" t="s">
        <v>85</v>
      </c>
      <c r="AH37" s="134" t="s">
        <v>86</v>
      </c>
      <c r="AI37" s="134"/>
      <c r="AJ37" s="134"/>
      <c r="AK37" s="134"/>
      <c r="AL37" s="134" t="s">
        <v>57</v>
      </c>
      <c r="AM37" s="134"/>
      <c r="AN37" s="134"/>
      <c r="AO37" s="472"/>
      <c r="AP37" s="472"/>
      <c r="AQ37" s="472"/>
      <c r="AR37" s="135">
        <f>COUNTIF(B:B,B37)</f>
        <v>1</v>
      </c>
      <c r="AS37" s="135" t="str">
        <f t="shared" si="11"/>
        <v>2021_05_31_a</v>
      </c>
      <c r="AT37" s="136"/>
      <c r="AU37" s="135" t="str">
        <f t="shared" si="12"/>
        <v>2021</v>
      </c>
      <c r="AV37" s="135" t="str">
        <f t="shared" si="13"/>
        <v>05</v>
      </c>
      <c r="AW37" s="135" t="str">
        <f t="shared" si="14"/>
        <v>31</v>
      </c>
      <c r="AX37" s="135">
        <f t="shared" si="15"/>
        <v>44347</v>
      </c>
      <c r="AY37" s="137"/>
      <c r="AZ37" s="138">
        <f t="shared" si="16"/>
        <v>44347</v>
      </c>
      <c r="BA37" s="135" t="b">
        <f t="shared" si="17"/>
        <v>1</v>
      </c>
      <c r="BB37" s="135">
        <f t="shared" si="18"/>
        <v>44347</v>
      </c>
      <c r="BC37" s="135" t="str">
        <f t="shared" si="19"/>
        <v>no</v>
      </c>
      <c r="BD37" s="135" t="b">
        <f t="shared" si="20"/>
        <v>0</v>
      </c>
      <c r="BE37" s="139" t="s">
        <v>59</v>
      </c>
      <c r="BF37" s="136"/>
    </row>
    <row r="38" spans="1:58" s="126" customFormat="1" ht="154">
      <c r="A38" s="136"/>
      <c r="B38" s="134" t="s">
        <v>151</v>
      </c>
      <c r="C38" s="134"/>
      <c r="D38" s="131" t="s">
        <v>152</v>
      </c>
      <c r="E38" s="134"/>
      <c r="F38" s="131" t="s">
        <v>46</v>
      </c>
      <c r="G38" s="132" t="s">
        <v>153</v>
      </c>
      <c r="H38" s="151">
        <v>44361</v>
      </c>
      <c r="I38" s="132"/>
      <c r="J38" s="133">
        <v>44375</v>
      </c>
      <c r="K38" s="132"/>
      <c r="L38" s="132"/>
      <c r="M38" s="132"/>
      <c r="N38" s="132"/>
      <c r="O38" s="132"/>
      <c r="P38" s="132"/>
      <c r="Q38" s="134" t="s">
        <v>82</v>
      </c>
      <c r="R38" s="134" t="s">
        <v>50</v>
      </c>
      <c r="S38" s="134">
        <f t="shared" si="21"/>
        <v>208</v>
      </c>
      <c r="T38" s="134">
        <v>208</v>
      </c>
      <c r="U38" s="134">
        <v>0</v>
      </c>
      <c r="V38" s="134">
        <v>208</v>
      </c>
      <c r="W38" s="134"/>
      <c r="X38" s="134"/>
      <c r="Y38" s="134"/>
      <c r="Z38" s="134" t="s">
        <v>52</v>
      </c>
      <c r="AA38" s="134"/>
      <c r="AB38" s="134"/>
      <c r="AC38" s="134"/>
      <c r="AD38" s="134"/>
      <c r="AE38" s="134"/>
      <c r="AF38" s="134"/>
      <c r="AG38" s="134" t="s">
        <v>85</v>
      </c>
      <c r="AH38" s="134" t="s">
        <v>86</v>
      </c>
      <c r="AI38" s="134"/>
      <c r="AJ38" s="134"/>
      <c r="AK38" s="134"/>
      <c r="AL38" s="134" t="s">
        <v>57</v>
      </c>
      <c r="AM38" s="134"/>
      <c r="AN38" s="134"/>
      <c r="AO38" s="472"/>
      <c r="AP38" s="472"/>
      <c r="AQ38" s="472"/>
      <c r="AR38" s="135">
        <f>COUNTIF(B:B,B38)</f>
        <v>1</v>
      </c>
      <c r="AS38" s="135" t="str">
        <f t="shared" si="11"/>
        <v>2021_06_14_a</v>
      </c>
      <c r="AT38" s="136"/>
      <c r="AU38" s="135" t="str">
        <f t="shared" si="12"/>
        <v>2021</v>
      </c>
      <c r="AV38" s="135" t="str">
        <f t="shared" si="13"/>
        <v>06</v>
      </c>
      <c r="AW38" s="135" t="str">
        <f t="shared" si="14"/>
        <v>14</v>
      </c>
      <c r="AX38" s="135">
        <f t="shared" si="15"/>
        <v>44361</v>
      </c>
      <c r="AY38" s="137"/>
      <c r="AZ38" s="138">
        <f t="shared" si="16"/>
        <v>44361</v>
      </c>
      <c r="BA38" s="135" t="b">
        <f t="shared" si="17"/>
        <v>1</v>
      </c>
      <c r="BB38" s="135">
        <f t="shared" si="18"/>
        <v>44361</v>
      </c>
      <c r="BC38" s="135" t="str">
        <f t="shared" si="19"/>
        <v>no</v>
      </c>
      <c r="BD38" s="135" t="b">
        <f t="shared" si="20"/>
        <v>0</v>
      </c>
      <c r="BE38" s="139" t="s">
        <v>59</v>
      </c>
      <c r="BF38" s="136"/>
    </row>
    <row r="39" spans="1:58" s="126" customFormat="1" ht="154">
      <c r="A39" s="136"/>
      <c r="B39" s="134" t="s">
        <v>154</v>
      </c>
      <c r="C39" s="134"/>
      <c r="D39" s="131" t="s">
        <v>155</v>
      </c>
      <c r="E39" s="134"/>
      <c r="F39" s="131" t="s">
        <v>46</v>
      </c>
      <c r="G39" s="132" t="s">
        <v>156</v>
      </c>
      <c r="H39" s="151">
        <v>44375</v>
      </c>
      <c r="I39" s="132"/>
      <c r="J39" s="133">
        <v>44389</v>
      </c>
      <c r="K39" s="132"/>
      <c r="L39" s="132"/>
      <c r="M39" s="132"/>
      <c r="N39" s="132"/>
      <c r="O39" s="132"/>
      <c r="P39" s="132"/>
      <c r="Q39" s="134" t="s">
        <v>82</v>
      </c>
      <c r="R39" s="134" t="s">
        <v>50</v>
      </c>
      <c r="S39" s="134">
        <f t="shared" si="21"/>
        <v>204</v>
      </c>
      <c r="T39" s="134">
        <v>204</v>
      </c>
      <c r="U39" s="134">
        <v>0</v>
      </c>
      <c r="V39" s="134">
        <v>204</v>
      </c>
      <c r="W39" s="134"/>
      <c r="X39" s="134"/>
      <c r="Y39" s="134"/>
      <c r="Z39" s="134" t="s">
        <v>52</v>
      </c>
      <c r="AA39" s="134"/>
      <c r="AB39" s="134"/>
      <c r="AC39" s="134"/>
      <c r="AD39" s="134"/>
      <c r="AE39" s="134"/>
      <c r="AF39" s="134"/>
      <c r="AG39" s="134" t="s">
        <v>85</v>
      </c>
      <c r="AH39" s="134" t="s">
        <v>86</v>
      </c>
      <c r="AI39" s="134"/>
      <c r="AJ39" s="134"/>
      <c r="AK39" s="134"/>
      <c r="AL39" s="134" t="s">
        <v>57</v>
      </c>
      <c r="AM39" s="134"/>
      <c r="AN39" s="134"/>
      <c r="AO39" s="472"/>
      <c r="AP39" s="472"/>
      <c r="AQ39" s="472"/>
      <c r="AR39" s="135">
        <f>COUNTIF(B:B,B39)</f>
        <v>1</v>
      </c>
      <c r="AS39" s="135" t="str">
        <f t="shared" si="11"/>
        <v>2021_06_28_a</v>
      </c>
      <c r="AT39" s="136"/>
      <c r="AU39" s="135" t="str">
        <f t="shared" si="12"/>
        <v>2021</v>
      </c>
      <c r="AV39" s="135" t="str">
        <f t="shared" si="13"/>
        <v>06</v>
      </c>
      <c r="AW39" s="135" t="str">
        <f t="shared" si="14"/>
        <v>28</v>
      </c>
      <c r="AX39" s="135">
        <f t="shared" si="15"/>
        <v>44375</v>
      </c>
      <c r="AY39" s="137"/>
      <c r="AZ39" s="138">
        <f t="shared" si="16"/>
        <v>44375</v>
      </c>
      <c r="BA39" s="135" t="b">
        <f t="shared" si="17"/>
        <v>1</v>
      </c>
      <c r="BB39" s="135">
        <f t="shared" si="18"/>
        <v>44375</v>
      </c>
      <c r="BC39" s="135" t="str">
        <f t="shared" si="19"/>
        <v>no</v>
      </c>
      <c r="BD39" s="135" t="b">
        <f t="shared" si="20"/>
        <v>0</v>
      </c>
      <c r="BE39" s="139" t="s">
        <v>59</v>
      </c>
      <c r="BF39" s="136"/>
    </row>
    <row r="40" spans="1:58" s="126" customFormat="1" ht="154">
      <c r="A40" s="136"/>
      <c r="B40" s="485" t="s">
        <v>157</v>
      </c>
      <c r="C40" s="134"/>
      <c r="D40" s="131" t="s">
        <v>158</v>
      </c>
      <c r="E40" s="134"/>
      <c r="F40" s="131" t="s">
        <v>46</v>
      </c>
      <c r="G40" s="132" t="s">
        <v>159</v>
      </c>
      <c r="H40" s="151">
        <v>44389</v>
      </c>
      <c r="I40" s="132"/>
      <c r="J40" s="133">
        <v>44403</v>
      </c>
      <c r="K40" s="132"/>
      <c r="L40" s="132"/>
      <c r="M40" s="132"/>
      <c r="N40" s="132"/>
      <c r="O40" s="132"/>
      <c r="P40" s="132"/>
      <c r="Q40" s="134" t="s">
        <v>93</v>
      </c>
      <c r="R40" s="134" t="s">
        <v>50</v>
      </c>
      <c r="S40" s="134">
        <f t="shared" si="21"/>
        <v>245</v>
      </c>
      <c r="T40" s="134">
        <v>245</v>
      </c>
      <c r="U40" s="134">
        <v>0</v>
      </c>
      <c r="V40" s="134">
        <v>245</v>
      </c>
      <c r="W40" s="134"/>
      <c r="X40" s="134"/>
      <c r="Y40" s="134"/>
      <c r="Z40" s="134" t="s">
        <v>52</v>
      </c>
      <c r="AA40" s="134"/>
      <c r="AB40" s="134"/>
      <c r="AC40" s="134"/>
      <c r="AD40" s="134"/>
      <c r="AE40" s="134"/>
      <c r="AF40" s="134"/>
      <c r="AG40" s="134" t="s">
        <v>85</v>
      </c>
      <c r="AH40" s="134" t="s">
        <v>86</v>
      </c>
      <c r="AI40" s="134"/>
      <c r="AJ40" s="134"/>
      <c r="AK40" s="134"/>
      <c r="AL40" s="134" t="s">
        <v>57</v>
      </c>
      <c r="AM40" s="134"/>
      <c r="AN40" s="134"/>
      <c r="AO40" s="472"/>
      <c r="AP40" s="472"/>
      <c r="AQ40" s="472"/>
      <c r="AR40" s="135">
        <f>COUNTIF(B:B,B40)</f>
        <v>1</v>
      </c>
      <c r="AS40" s="135" t="str">
        <f t="shared" si="11"/>
        <v>2021_07_12_a</v>
      </c>
      <c r="AT40" s="136"/>
      <c r="AU40" s="135" t="str">
        <f t="shared" si="12"/>
        <v>2021</v>
      </c>
      <c r="AV40" s="135" t="str">
        <f t="shared" si="13"/>
        <v>07</v>
      </c>
      <c r="AW40" s="135" t="str">
        <f t="shared" si="14"/>
        <v>12</v>
      </c>
      <c r="AX40" s="135">
        <f t="shared" si="15"/>
        <v>44389</v>
      </c>
      <c r="AY40" s="137"/>
      <c r="AZ40" s="138">
        <f t="shared" si="16"/>
        <v>44389</v>
      </c>
      <c r="BA40" s="135" t="b">
        <f t="shared" si="17"/>
        <v>1</v>
      </c>
      <c r="BB40" s="135">
        <f t="shared" si="18"/>
        <v>44389</v>
      </c>
      <c r="BC40" s="135" t="str">
        <f t="shared" si="19"/>
        <v>no</v>
      </c>
      <c r="BD40" s="135" t="b">
        <f t="shared" si="20"/>
        <v>0</v>
      </c>
      <c r="BE40" s="139" t="s">
        <v>59</v>
      </c>
      <c r="BF40" s="136"/>
    </row>
    <row r="41" spans="1:58" s="126" customFormat="1" ht="154">
      <c r="A41" s="136"/>
      <c r="B41" s="134" t="s">
        <v>160</v>
      </c>
      <c r="C41" s="134"/>
      <c r="D41" s="131" t="s">
        <v>161</v>
      </c>
      <c r="E41" s="134"/>
      <c r="F41" s="131" t="s">
        <v>46</v>
      </c>
      <c r="G41" s="132" t="s">
        <v>162</v>
      </c>
      <c r="H41" s="151">
        <v>44403</v>
      </c>
      <c r="I41" s="132"/>
      <c r="J41" s="133">
        <v>44417</v>
      </c>
      <c r="K41" s="132"/>
      <c r="L41" s="132"/>
      <c r="M41" s="132"/>
      <c r="N41" s="132"/>
      <c r="O41" s="132"/>
      <c r="P41" s="132"/>
      <c r="Q41" s="134" t="s">
        <v>93</v>
      </c>
      <c r="R41" s="134" t="s">
        <v>50</v>
      </c>
      <c r="S41" s="134">
        <f t="shared" si="21"/>
        <v>164</v>
      </c>
      <c r="T41" s="134">
        <v>164</v>
      </c>
      <c r="U41" s="134">
        <v>0</v>
      </c>
      <c r="V41" s="134">
        <v>164</v>
      </c>
      <c r="W41" s="134"/>
      <c r="X41" s="134"/>
      <c r="Y41" s="134"/>
      <c r="Z41" s="134" t="s">
        <v>52</v>
      </c>
      <c r="AA41" s="134"/>
      <c r="AB41" s="134"/>
      <c r="AC41" s="134"/>
      <c r="AD41" s="134"/>
      <c r="AE41" s="134"/>
      <c r="AF41" s="134"/>
      <c r="AG41" s="134" t="s">
        <v>85</v>
      </c>
      <c r="AH41" s="134" t="s">
        <v>86</v>
      </c>
      <c r="AI41" s="134"/>
      <c r="AJ41" s="134"/>
      <c r="AK41" s="134"/>
      <c r="AL41" s="134" t="s">
        <v>57</v>
      </c>
      <c r="AM41" s="134"/>
      <c r="AN41" s="134"/>
      <c r="AO41" s="472"/>
      <c r="AP41" s="472"/>
      <c r="AQ41" s="472"/>
      <c r="AR41" s="135">
        <f>COUNTIF(B:B,B41)</f>
        <v>1</v>
      </c>
      <c r="AS41" s="135" t="str">
        <f t="shared" si="11"/>
        <v>2021_07_26_a</v>
      </c>
      <c r="AT41" s="136"/>
      <c r="AU41" s="135" t="str">
        <f t="shared" si="12"/>
        <v>2021</v>
      </c>
      <c r="AV41" s="135" t="str">
        <f t="shared" si="13"/>
        <v>07</v>
      </c>
      <c r="AW41" s="135" t="str">
        <f t="shared" si="14"/>
        <v>26</v>
      </c>
      <c r="AX41" s="135">
        <f t="shared" si="15"/>
        <v>44403</v>
      </c>
      <c r="AY41" s="137"/>
      <c r="AZ41" s="138">
        <f t="shared" si="16"/>
        <v>44403</v>
      </c>
      <c r="BA41" s="135" t="b">
        <f t="shared" si="17"/>
        <v>1</v>
      </c>
      <c r="BB41" s="135">
        <f t="shared" si="18"/>
        <v>44403</v>
      </c>
      <c r="BC41" s="135" t="str">
        <f t="shared" si="19"/>
        <v>no</v>
      </c>
      <c r="BD41" s="135" t="b">
        <f t="shared" si="20"/>
        <v>0</v>
      </c>
      <c r="BE41" s="139" t="s">
        <v>59</v>
      </c>
      <c r="BF41" s="136"/>
    </row>
    <row r="42" spans="1:58" s="126" customFormat="1" ht="154">
      <c r="A42" s="136"/>
      <c r="B42" s="134" t="s">
        <v>163</v>
      </c>
      <c r="C42" s="134"/>
      <c r="D42" s="131" t="s">
        <v>164</v>
      </c>
      <c r="E42" s="134"/>
      <c r="F42" s="131" t="s">
        <v>46</v>
      </c>
      <c r="G42" s="132" t="s">
        <v>165</v>
      </c>
      <c r="H42" s="151">
        <v>44417</v>
      </c>
      <c r="I42" s="132"/>
      <c r="J42" s="133">
        <v>44431</v>
      </c>
      <c r="K42" s="132"/>
      <c r="L42" s="132"/>
      <c r="M42" s="132"/>
      <c r="N42" s="132"/>
      <c r="O42" s="132"/>
      <c r="P42" s="132"/>
      <c r="Q42" s="134" t="s">
        <v>93</v>
      </c>
      <c r="R42" s="134" t="s">
        <v>50</v>
      </c>
      <c r="S42" s="134">
        <f>U42+V42</f>
        <v>21</v>
      </c>
      <c r="T42" s="134">
        <v>21</v>
      </c>
      <c r="U42" s="134">
        <v>0</v>
      </c>
      <c r="V42" s="134">
        <v>21</v>
      </c>
      <c r="W42" s="134"/>
      <c r="X42" s="134"/>
      <c r="Y42" s="134"/>
      <c r="Z42" s="134" t="s">
        <v>52</v>
      </c>
      <c r="AA42" s="134"/>
      <c r="AB42" s="134"/>
      <c r="AC42" s="134"/>
      <c r="AD42" s="134"/>
      <c r="AE42" s="134"/>
      <c r="AF42" s="134"/>
      <c r="AG42" s="134" t="s">
        <v>85</v>
      </c>
      <c r="AH42" s="134" t="s">
        <v>86</v>
      </c>
      <c r="AI42" s="134"/>
      <c r="AJ42" s="134"/>
      <c r="AK42" s="134"/>
      <c r="AL42" s="134" t="s">
        <v>57</v>
      </c>
      <c r="AM42" s="134"/>
      <c r="AN42" s="134"/>
      <c r="AO42" s="472"/>
      <c r="AP42" s="472"/>
      <c r="AQ42" s="472"/>
      <c r="AR42" s="135">
        <f>COUNTIF(B:B,B42)</f>
        <v>1</v>
      </c>
      <c r="AS42" s="135" t="str">
        <f t="shared" si="11"/>
        <v>2021_08_09_a</v>
      </c>
      <c r="AT42" s="136"/>
      <c r="AU42" s="135" t="str">
        <f t="shared" si="12"/>
        <v>2021</v>
      </c>
      <c r="AV42" s="135" t="str">
        <f t="shared" si="13"/>
        <v>08</v>
      </c>
      <c r="AW42" s="135" t="str">
        <f t="shared" si="14"/>
        <v>09</v>
      </c>
      <c r="AX42" s="135">
        <f t="shared" si="15"/>
        <v>44417</v>
      </c>
      <c r="AY42" s="137"/>
      <c r="AZ42" s="138">
        <f t="shared" si="16"/>
        <v>44417</v>
      </c>
      <c r="BA42" s="135" t="b">
        <f t="shared" si="17"/>
        <v>1</v>
      </c>
      <c r="BB42" s="135">
        <f t="shared" si="18"/>
        <v>44417</v>
      </c>
      <c r="BC42" s="135" t="str">
        <f t="shared" si="19"/>
        <v>no</v>
      </c>
      <c r="BD42" s="135" t="b">
        <f t="shared" si="20"/>
        <v>0</v>
      </c>
      <c r="BE42" s="139" t="s">
        <v>59</v>
      </c>
      <c r="BF42" s="136"/>
    </row>
    <row r="43" spans="1:58" s="126" customFormat="1" ht="154">
      <c r="A43" s="136"/>
      <c r="B43" s="134" t="s">
        <v>166</v>
      </c>
      <c r="C43" s="134"/>
      <c r="D43" s="131" t="s">
        <v>167</v>
      </c>
      <c r="E43" s="134"/>
      <c r="F43" s="131" t="s">
        <v>46</v>
      </c>
      <c r="G43" s="132" t="s">
        <v>168</v>
      </c>
      <c r="H43" s="151">
        <v>44424</v>
      </c>
      <c r="I43" s="132"/>
      <c r="J43" s="133">
        <v>44439</v>
      </c>
      <c r="K43" s="132"/>
      <c r="L43" s="132"/>
      <c r="M43" s="132"/>
      <c r="N43" s="132"/>
      <c r="O43" s="132"/>
      <c r="P43" s="132"/>
      <c r="Q43" s="134" t="s">
        <v>93</v>
      </c>
      <c r="R43" s="134" t="s">
        <v>50</v>
      </c>
      <c r="S43" s="134">
        <f t="shared" si="21"/>
        <v>217</v>
      </c>
      <c r="T43" s="134">
        <v>217</v>
      </c>
      <c r="U43" s="134">
        <v>0</v>
      </c>
      <c r="V43" s="134">
        <v>217</v>
      </c>
      <c r="W43" s="134"/>
      <c r="X43" s="134"/>
      <c r="Y43" s="134"/>
      <c r="Z43" s="134" t="s">
        <v>52</v>
      </c>
      <c r="AA43" s="134"/>
      <c r="AB43" s="134"/>
      <c r="AC43" s="134"/>
      <c r="AD43" s="134"/>
      <c r="AE43" s="134"/>
      <c r="AF43" s="134"/>
      <c r="AG43" s="134" t="s">
        <v>85</v>
      </c>
      <c r="AH43" s="134" t="s">
        <v>86</v>
      </c>
      <c r="AI43" s="134"/>
      <c r="AJ43" s="134"/>
      <c r="AK43" s="134"/>
      <c r="AL43" s="134" t="s">
        <v>57</v>
      </c>
      <c r="AM43" s="134"/>
      <c r="AN43" s="134"/>
      <c r="AO43" s="472"/>
      <c r="AP43" s="472"/>
      <c r="AQ43" s="472"/>
      <c r="AR43" s="135">
        <f>COUNTIF(B:B,B43)</f>
        <v>1</v>
      </c>
      <c r="AS43" s="135" t="str">
        <f t="shared" si="11"/>
        <v>2021_08_16_a</v>
      </c>
      <c r="AT43" s="136"/>
      <c r="AU43" s="135" t="str">
        <f t="shared" si="12"/>
        <v>2021</v>
      </c>
      <c r="AV43" s="135" t="str">
        <f t="shared" si="13"/>
        <v>08</v>
      </c>
      <c r="AW43" s="135" t="str">
        <f t="shared" si="14"/>
        <v>16</v>
      </c>
      <c r="AX43" s="135">
        <f t="shared" si="15"/>
        <v>44424</v>
      </c>
      <c r="AY43" s="137"/>
      <c r="AZ43" s="138">
        <f t="shared" si="16"/>
        <v>44424</v>
      </c>
      <c r="BA43" s="135" t="b">
        <f t="shared" si="17"/>
        <v>1</v>
      </c>
      <c r="BB43" s="135">
        <f t="shared" si="18"/>
        <v>44424</v>
      </c>
      <c r="BC43" s="135" t="str">
        <f t="shared" si="19"/>
        <v>no</v>
      </c>
      <c r="BD43" s="135" t="b">
        <f t="shared" si="20"/>
        <v>0</v>
      </c>
      <c r="BE43" s="139" t="s">
        <v>59</v>
      </c>
      <c r="BF43" s="136"/>
    </row>
    <row r="44" spans="1:58" s="126" customFormat="1" ht="154">
      <c r="A44" s="136"/>
      <c r="B44" s="134" t="s">
        <v>169</v>
      </c>
      <c r="C44" s="134"/>
      <c r="D44" s="131" t="s">
        <v>170</v>
      </c>
      <c r="E44" s="134"/>
      <c r="F44" s="131" t="s">
        <v>46</v>
      </c>
      <c r="G44" s="132" t="s">
        <v>171</v>
      </c>
      <c r="H44" s="151">
        <v>44431</v>
      </c>
      <c r="I44" s="132"/>
      <c r="J44" s="133">
        <v>44446</v>
      </c>
      <c r="K44" s="132"/>
      <c r="L44" s="132"/>
      <c r="M44" s="132"/>
      <c r="N44" s="132"/>
      <c r="O44" s="132"/>
      <c r="P44" s="132"/>
      <c r="Q44" s="134" t="s">
        <v>93</v>
      </c>
      <c r="R44" s="134" t="s">
        <v>50</v>
      </c>
      <c r="S44" s="134">
        <f t="shared" si="21"/>
        <v>215</v>
      </c>
      <c r="T44" s="134">
        <v>215</v>
      </c>
      <c r="U44" s="134">
        <v>0</v>
      </c>
      <c r="V44" s="134">
        <v>215</v>
      </c>
      <c r="W44" s="134"/>
      <c r="X44" s="134"/>
      <c r="Y44" s="134"/>
      <c r="Z44" s="134" t="s">
        <v>52</v>
      </c>
      <c r="AA44" s="134"/>
      <c r="AB44" s="134"/>
      <c r="AC44" s="134"/>
      <c r="AD44" s="134"/>
      <c r="AE44" s="134"/>
      <c r="AF44" s="134"/>
      <c r="AG44" s="134" t="s">
        <v>85</v>
      </c>
      <c r="AH44" s="134" t="s">
        <v>86</v>
      </c>
      <c r="AI44" s="134"/>
      <c r="AJ44" s="134"/>
      <c r="AK44" s="134"/>
      <c r="AL44" s="134" t="s">
        <v>57</v>
      </c>
      <c r="AM44" s="134"/>
      <c r="AN44" s="134"/>
      <c r="AO44" s="472"/>
      <c r="AP44" s="472"/>
      <c r="AQ44" s="472"/>
      <c r="AR44" s="135">
        <f>COUNTIF(B:B,B44)</f>
        <v>1</v>
      </c>
      <c r="AS44" s="135" t="str">
        <f t="shared" si="11"/>
        <v>2021_08_23_a</v>
      </c>
      <c r="AT44" s="136"/>
      <c r="AU44" s="135" t="str">
        <f t="shared" si="12"/>
        <v>2021</v>
      </c>
      <c r="AV44" s="135" t="str">
        <f t="shared" si="13"/>
        <v>08</v>
      </c>
      <c r="AW44" s="135" t="str">
        <f t="shared" si="14"/>
        <v>23</v>
      </c>
      <c r="AX44" s="135">
        <f t="shared" si="15"/>
        <v>44431</v>
      </c>
      <c r="AY44" s="137"/>
      <c r="AZ44" s="138">
        <f t="shared" si="16"/>
        <v>44431</v>
      </c>
      <c r="BA44" s="135" t="b">
        <f t="shared" si="17"/>
        <v>1</v>
      </c>
      <c r="BB44" s="135">
        <f t="shared" si="18"/>
        <v>44431</v>
      </c>
      <c r="BC44" s="135" t="str">
        <f t="shared" si="19"/>
        <v>no</v>
      </c>
      <c r="BD44" s="135" t="b">
        <f t="shared" si="20"/>
        <v>0</v>
      </c>
      <c r="BE44" s="139" t="s">
        <v>59</v>
      </c>
      <c r="BF44" s="136"/>
    </row>
    <row r="45" spans="1:58" s="126" customFormat="1" ht="154">
      <c r="A45" s="136"/>
      <c r="B45" s="134" t="s">
        <v>172</v>
      </c>
      <c r="C45" s="134"/>
      <c r="D45" s="131" t="s">
        <v>173</v>
      </c>
      <c r="E45" s="134"/>
      <c r="F45" s="131" t="s">
        <v>46</v>
      </c>
      <c r="G45" s="132" t="s">
        <v>174</v>
      </c>
      <c r="H45" s="151">
        <v>44439</v>
      </c>
      <c r="I45" s="132"/>
      <c r="J45" s="133">
        <v>44454</v>
      </c>
      <c r="K45" s="132"/>
      <c r="L45" s="132"/>
      <c r="M45" s="132"/>
      <c r="N45" s="132"/>
      <c r="O45" s="132"/>
      <c r="P45" s="132"/>
      <c r="Q45" s="134" t="s">
        <v>93</v>
      </c>
      <c r="R45" s="134" t="s">
        <v>50</v>
      </c>
      <c r="S45" s="134">
        <f t="shared" si="21"/>
        <v>186</v>
      </c>
      <c r="T45" s="134">
        <v>186</v>
      </c>
      <c r="U45" s="134">
        <v>0</v>
      </c>
      <c r="V45" s="134">
        <v>186</v>
      </c>
      <c r="W45" s="134"/>
      <c r="X45" s="134"/>
      <c r="Y45" s="134"/>
      <c r="Z45" s="134" t="s">
        <v>52</v>
      </c>
      <c r="AA45" s="134"/>
      <c r="AB45" s="134"/>
      <c r="AC45" s="134"/>
      <c r="AD45" s="134"/>
      <c r="AE45" s="134"/>
      <c r="AF45" s="134"/>
      <c r="AG45" s="134" t="s">
        <v>85</v>
      </c>
      <c r="AH45" s="134" t="s">
        <v>86</v>
      </c>
      <c r="AI45" s="134"/>
      <c r="AJ45" s="134"/>
      <c r="AK45" s="134"/>
      <c r="AL45" s="134" t="s">
        <v>57</v>
      </c>
      <c r="AM45" s="134"/>
      <c r="AN45" s="134"/>
      <c r="AO45" s="472"/>
      <c r="AP45" s="472"/>
      <c r="AQ45" s="472"/>
      <c r="AR45" s="135">
        <f>COUNTIF(B:B,B45)</f>
        <v>1</v>
      </c>
      <c r="AS45" s="135" t="str">
        <f t="shared" si="11"/>
        <v>2021_08_31_a</v>
      </c>
      <c r="AT45" s="136"/>
      <c r="AU45" s="135" t="str">
        <f t="shared" si="12"/>
        <v>2021</v>
      </c>
      <c r="AV45" s="135" t="str">
        <f t="shared" si="13"/>
        <v>08</v>
      </c>
      <c r="AW45" s="135" t="str">
        <f t="shared" si="14"/>
        <v>31</v>
      </c>
      <c r="AX45" s="135">
        <f t="shared" si="15"/>
        <v>44439</v>
      </c>
      <c r="AY45" s="137"/>
      <c r="AZ45" s="138">
        <f t="shared" si="16"/>
        <v>44439</v>
      </c>
      <c r="BA45" s="135" t="b">
        <f t="shared" si="17"/>
        <v>1</v>
      </c>
      <c r="BB45" s="135">
        <f t="shared" si="18"/>
        <v>44439</v>
      </c>
      <c r="BC45" s="135" t="str">
        <f t="shared" si="19"/>
        <v>no</v>
      </c>
      <c r="BD45" s="135" t="b">
        <f t="shared" si="20"/>
        <v>0</v>
      </c>
      <c r="BE45" s="139" t="s">
        <v>59</v>
      </c>
      <c r="BF45" s="136"/>
    </row>
    <row r="46" spans="1:58" s="126" customFormat="1" ht="154">
      <c r="A46" s="136"/>
      <c r="B46" s="134" t="s">
        <v>175</v>
      </c>
      <c r="C46" s="134"/>
      <c r="D46" s="131" t="s">
        <v>176</v>
      </c>
      <c r="E46" s="134"/>
      <c r="F46" s="131" t="s">
        <v>46</v>
      </c>
      <c r="G46" s="132" t="s">
        <v>177</v>
      </c>
      <c r="H46" s="151">
        <v>44459</v>
      </c>
      <c r="I46" s="132"/>
      <c r="J46" s="133">
        <v>44473</v>
      </c>
      <c r="K46" s="132"/>
      <c r="L46" s="132"/>
      <c r="M46" s="132"/>
      <c r="N46" s="132"/>
      <c r="O46" s="132"/>
      <c r="P46" s="132"/>
      <c r="Q46" s="134" t="s">
        <v>93</v>
      </c>
      <c r="R46" s="134" t="s">
        <v>50</v>
      </c>
      <c r="S46" s="134">
        <f t="shared" si="21"/>
        <v>182</v>
      </c>
      <c r="T46" s="134">
        <v>182</v>
      </c>
      <c r="U46" s="134">
        <v>0</v>
      </c>
      <c r="V46" s="134">
        <v>182</v>
      </c>
      <c r="W46" s="134"/>
      <c r="X46" s="134"/>
      <c r="Y46" s="134"/>
      <c r="Z46" s="134" t="s">
        <v>52</v>
      </c>
      <c r="AA46" s="134"/>
      <c r="AB46" s="134"/>
      <c r="AC46" s="134"/>
      <c r="AD46" s="134"/>
      <c r="AE46" s="134"/>
      <c r="AF46" s="134"/>
      <c r="AG46" s="134" t="s">
        <v>85</v>
      </c>
      <c r="AH46" s="134" t="s">
        <v>86</v>
      </c>
      <c r="AI46" s="134"/>
      <c r="AJ46" s="134"/>
      <c r="AK46" s="134"/>
      <c r="AL46" s="134" t="s">
        <v>57</v>
      </c>
      <c r="AM46" s="134"/>
      <c r="AN46" s="134"/>
      <c r="AO46" s="472"/>
      <c r="AP46" s="472"/>
      <c r="AQ46" s="472"/>
      <c r="AR46" s="135">
        <f>COUNTIF(B:B,B46)</f>
        <v>1</v>
      </c>
      <c r="AS46" s="135" t="str">
        <f t="shared" si="11"/>
        <v>2021_09_20_a</v>
      </c>
      <c r="AT46" s="136"/>
      <c r="AU46" s="135" t="str">
        <f t="shared" si="12"/>
        <v>2021</v>
      </c>
      <c r="AV46" s="135" t="str">
        <f t="shared" si="13"/>
        <v>09</v>
      </c>
      <c r="AW46" s="135" t="str">
        <f t="shared" si="14"/>
        <v>20</v>
      </c>
      <c r="AX46" s="135">
        <f t="shared" si="15"/>
        <v>44459</v>
      </c>
      <c r="AY46" s="137"/>
      <c r="AZ46" s="138">
        <f t="shared" si="16"/>
        <v>44459</v>
      </c>
      <c r="BA46" s="135" t="b">
        <f t="shared" si="17"/>
        <v>1</v>
      </c>
      <c r="BB46" s="135">
        <f t="shared" si="18"/>
        <v>44459</v>
      </c>
      <c r="BC46" s="135" t="str">
        <f t="shared" si="19"/>
        <v>no</v>
      </c>
      <c r="BD46" s="135" t="b">
        <f t="shared" si="20"/>
        <v>0</v>
      </c>
      <c r="BE46" s="139" t="s">
        <v>59</v>
      </c>
      <c r="BF46" s="136"/>
    </row>
    <row r="47" spans="1:58" s="126" customFormat="1" ht="154">
      <c r="A47" s="136"/>
      <c r="B47" s="134" t="s">
        <v>178</v>
      </c>
      <c r="C47" s="134"/>
      <c r="D47" s="131" t="s">
        <v>179</v>
      </c>
      <c r="E47" s="134"/>
      <c r="F47" s="131" t="s">
        <v>46</v>
      </c>
      <c r="G47" s="132" t="s">
        <v>180</v>
      </c>
      <c r="H47" s="151">
        <v>44473</v>
      </c>
      <c r="I47" s="132"/>
      <c r="J47" s="133">
        <v>44488</v>
      </c>
      <c r="K47" s="132"/>
      <c r="L47" s="132"/>
      <c r="M47" s="132"/>
      <c r="N47" s="132"/>
      <c r="O47" s="132"/>
      <c r="P47" s="132"/>
      <c r="Q47" s="134" t="s">
        <v>106</v>
      </c>
      <c r="R47" s="134" t="s">
        <v>50</v>
      </c>
      <c r="S47" s="134">
        <f t="shared" si="21"/>
        <v>151</v>
      </c>
      <c r="T47" s="134">
        <v>151</v>
      </c>
      <c r="U47" s="134">
        <v>0</v>
      </c>
      <c r="V47" s="134">
        <v>151</v>
      </c>
      <c r="W47" s="134"/>
      <c r="X47" s="134"/>
      <c r="Y47" s="134"/>
      <c r="Z47" s="134" t="s">
        <v>52</v>
      </c>
      <c r="AA47" s="134"/>
      <c r="AB47" s="134"/>
      <c r="AC47" s="134"/>
      <c r="AD47" s="134"/>
      <c r="AE47" s="134"/>
      <c r="AF47" s="134"/>
      <c r="AG47" s="134" t="s">
        <v>85</v>
      </c>
      <c r="AH47" s="134" t="s">
        <v>86</v>
      </c>
      <c r="AI47" s="134"/>
      <c r="AJ47" s="134"/>
      <c r="AK47" s="134"/>
      <c r="AL47" s="134" t="s">
        <v>57</v>
      </c>
      <c r="AM47" s="134"/>
      <c r="AN47" s="134"/>
      <c r="AO47" s="472"/>
      <c r="AP47" s="472"/>
      <c r="AQ47" s="472"/>
      <c r="AR47" s="135">
        <f>COUNTIF(B:B,B47)</f>
        <v>1</v>
      </c>
      <c r="AS47" s="135" t="str">
        <f t="shared" si="11"/>
        <v>2021_10_04_a</v>
      </c>
      <c r="AT47" s="136"/>
      <c r="AU47" s="135" t="str">
        <f t="shared" si="12"/>
        <v>2021</v>
      </c>
      <c r="AV47" s="135" t="str">
        <f t="shared" si="13"/>
        <v>10</v>
      </c>
      <c r="AW47" s="135" t="str">
        <f t="shared" si="14"/>
        <v>04</v>
      </c>
      <c r="AX47" s="135">
        <f t="shared" si="15"/>
        <v>44473</v>
      </c>
      <c r="AY47" s="137"/>
      <c r="AZ47" s="138">
        <f t="shared" si="16"/>
        <v>44473</v>
      </c>
      <c r="BA47" s="135" t="b">
        <f t="shared" si="17"/>
        <v>1</v>
      </c>
      <c r="BB47" s="135">
        <f t="shared" si="18"/>
        <v>44473</v>
      </c>
      <c r="BC47" s="135" t="str">
        <f t="shared" si="19"/>
        <v>no</v>
      </c>
      <c r="BD47" s="135" t="b">
        <f t="shared" si="20"/>
        <v>0</v>
      </c>
      <c r="BE47" s="139" t="s">
        <v>59</v>
      </c>
      <c r="BF47" s="136"/>
    </row>
    <row r="48" spans="1:58" s="126" customFormat="1" ht="154">
      <c r="A48" s="136"/>
      <c r="B48" s="134" t="s">
        <v>181</v>
      </c>
      <c r="C48" s="134"/>
      <c r="D48" s="131" t="s">
        <v>182</v>
      </c>
      <c r="E48" s="134"/>
      <c r="F48" s="131" t="s">
        <v>46</v>
      </c>
      <c r="G48" s="132" t="s">
        <v>183</v>
      </c>
      <c r="H48" s="151">
        <v>44487</v>
      </c>
      <c r="I48" s="132"/>
      <c r="J48" s="133">
        <v>44502</v>
      </c>
      <c r="K48" s="132"/>
      <c r="L48" s="132"/>
      <c r="M48" s="132"/>
      <c r="N48" s="132"/>
      <c r="O48" s="132"/>
      <c r="P48" s="132"/>
      <c r="Q48" s="134" t="s">
        <v>106</v>
      </c>
      <c r="R48" s="134" t="s">
        <v>50</v>
      </c>
      <c r="S48" s="134">
        <f t="shared" si="21"/>
        <v>194</v>
      </c>
      <c r="T48" s="134">
        <v>194</v>
      </c>
      <c r="U48" s="134">
        <v>0</v>
      </c>
      <c r="V48" s="134">
        <v>194</v>
      </c>
      <c r="W48" s="134"/>
      <c r="X48" s="134"/>
      <c r="Y48" s="134"/>
      <c r="Z48" s="134" t="s">
        <v>52</v>
      </c>
      <c r="AA48" s="134"/>
      <c r="AB48" s="134"/>
      <c r="AC48" s="134"/>
      <c r="AD48" s="134"/>
      <c r="AE48" s="134"/>
      <c r="AF48" s="134"/>
      <c r="AG48" s="134" t="s">
        <v>85</v>
      </c>
      <c r="AH48" s="134" t="s">
        <v>86</v>
      </c>
      <c r="AI48" s="134"/>
      <c r="AJ48" s="134"/>
      <c r="AK48" s="134"/>
      <c r="AL48" s="134" t="s">
        <v>57</v>
      </c>
      <c r="AM48" s="134"/>
      <c r="AN48" s="134"/>
      <c r="AO48" s="472"/>
      <c r="AP48" s="472"/>
      <c r="AQ48" s="472"/>
      <c r="AR48" s="135">
        <f>COUNTIF(B:B,B48)</f>
        <v>1</v>
      </c>
      <c r="AS48" s="135" t="str">
        <f t="shared" si="11"/>
        <v>2021_10_18_a</v>
      </c>
      <c r="AT48" s="136"/>
      <c r="AU48" s="135" t="str">
        <f t="shared" si="12"/>
        <v>2021</v>
      </c>
      <c r="AV48" s="135" t="str">
        <f t="shared" si="13"/>
        <v>10</v>
      </c>
      <c r="AW48" s="135" t="str">
        <f t="shared" si="14"/>
        <v>18</v>
      </c>
      <c r="AX48" s="135">
        <f t="shared" si="15"/>
        <v>44487</v>
      </c>
      <c r="AY48" s="137"/>
      <c r="AZ48" s="138">
        <f t="shared" si="16"/>
        <v>44487</v>
      </c>
      <c r="BA48" s="135" t="b">
        <f t="shared" si="17"/>
        <v>1</v>
      </c>
      <c r="BB48" s="135">
        <f t="shared" si="18"/>
        <v>44487</v>
      </c>
      <c r="BC48" s="135" t="str">
        <f t="shared" si="19"/>
        <v>no</v>
      </c>
      <c r="BD48" s="135" t="b">
        <f t="shared" si="20"/>
        <v>0</v>
      </c>
      <c r="BE48" s="139" t="s">
        <v>59</v>
      </c>
      <c r="BF48" s="136"/>
    </row>
    <row r="49" spans="1:58" s="126" customFormat="1" ht="154">
      <c r="A49" s="136"/>
      <c r="B49" s="134" t="s">
        <v>184</v>
      </c>
      <c r="C49" s="134"/>
      <c r="D49" s="131">
        <v>10226045</v>
      </c>
      <c r="E49" s="134"/>
      <c r="F49" s="131" t="s">
        <v>46</v>
      </c>
      <c r="G49" s="132" t="s">
        <v>185</v>
      </c>
      <c r="H49" s="151">
        <v>44494</v>
      </c>
      <c r="I49" s="132"/>
      <c r="J49" s="133">
        <v>44509</v>
      </c>
      <c r="K49" s="132"/>
      <c r="L49" s="132"/>
      <c r="M49" s="132"/>
      <c r="N49" s="132"/>
      <c r="O49" s="132"/>
      <c r="P49" s="132"/>
      <c r="Q49" s="134" t="s">
        <v>106</v>
      </c>
      <c r="R49" s="134" t="s">
        <v>50</v>
      </c>
      <c r="S49" s="134">
        <f t="shared" si="21"/>
        <v>128</v>
      </c>
      <c r="T49" s="134">
        <v>128</v>
      </c>
      <c r="U49" s="134">
        <v>0</v>
      </c>
      <c r="V49" s="134">
        <v>128</v>
      </c>
      <c r="W49" s="134"/>
      <c r="X49" s="134"/>
      <c r="Y49" s="134"/>
      <c r="Z49" s="134" t="s">
        <v>52</v>
      </c>
      <c r="AA49" s="134"/>
      <c r="AB49" s="134"/>
      <c r="AC49" s="134"/>
      <c r="AD49" s="134"/>
      <c r="AE49" s="134"/>
      <c r="AF49" s="134"/>
      <c r="AG49" s="134" t="s">
        <v>85</v>
      </c>
      <c r="AH49" s="134" t="s">
        <v>86</v>
      </c>
      <c r="AI49" s="134"/>
      <c r="AJ49" s="134"/>
      <c r="AK49" s="134"/>
      <c r="AL49" s="134" t="s">
        <v>57</v>
      </c>
      <c r="AM49" s="134"/>
      <c r="AN49" s="134"/>
      <c r="AO49" s="472"/>
      <c r="AP49" s="472"/>
      <c r="AQ49" s="472"/>
      <c r="AR49" s="135">
        <f>COUNTIF(B:B,B49)</f>
        <v>1</v>
      </c>
      <c r="AS49" s="135" t="str">
        <f t="shared" si="11"/>
        <v>2021_10_25_a</v>
      </c>
      <c r="AT49" s="136"/>
      <c r="AU49" s="135" t="str">
        <f t="shared" si="12"/>
        <v>2021</v>
      </c>
      <c r="AV49" s="135" t="str">
        <f t="shared" si="13"/>
        <v>10</v>
      </c>
      <c r="AW49" s="135" t="str">
        <f t="shared" si="14"/>
        <v>25</v>
      </c>
      <c r="AX49" s="135">
        <f t="shared" si="15"/>
        <v>44494</v>
      </c>
      <c r="AY49" s="137"/>
      <c r="AZ49" s="138">
        <f t="shared" si="16"/>
        <v>44494</v>
      </c>
      <c r="BA49" s="135" t="b">
        <f t="shared" si="17"/>
        <v>1</v>
      </c>
      <c r="BB49" s="135">
        <f t="shared" si="18"/>
        <v>44494</v>
      </c>
      <c r="BC49" s="135" t="str">
        <f t="shared" si="19"/>
        <v>no</v>
      </c>
      <c r="BD49" s="135" t="b">
        <f t="shared" si="20"/>
        <v>0</v>
      </c>
      <c r="BE49" s="139" t="s">
        <v>59</v>
      </c>
      <c r="BF49" s="136"/>
    </row>
    <row r="50" spans="1:58" s="126" customFormat="1" ht="154">
      <c r="A50" s="136"/>
      <c r="B50" s="134" t="s">
        <v>186</v>
      </c>
      <c r="C50" s="134"/>
      <c r="D50" s="131" t="s">
        <v>187</v>
      </c>
      <c r="E50" s="134"/>
      <c r="F50" s="131" t="s">
        <v>46</v>
      </c>
      <c r="G50" s="132" t="s">
        <v>188</v>
      </c>
      <c r="H50" s="151">
        <v>44515</v>
      </c>
      <c r="I50" s="132"/>
      <c r="J50" s="133">
        <v>44529</v>
      </c>
      <c r="K50" s="132"/>
      <c r="L50" s="132"/>
      <c r="M50" s="132"/>
      <c r="N50" s="132"/>
      <c r="O50" s="132"/>
      <c r="P50" s="132"/>
      <c r="Q50" s="134" t="s">
        <v>106</v>
      </c>
      <c r="R50" s="134" t="s">
        <v>50</v>
      </c>
      <c r="S50" s="134">
        <f>U50+V50</f>
        <v>183</v>
      </c>
      <c r="T50" s="134">
        <v>183</v>
      </c>
      <c r="U50" s="134">
        <v>0</v>
      </c>
      <c r="V50" s="134">
        <v>183</v>
      </c>
      <c r="W50" s="134"/>
      <c r="X50" s="134"/>
      <c r="Y50" s="134"/>
      <c r="Z50" s="134" t="s">
        <v>52</v>
      </c>
      <c r="AA50" s="134"/>
      <c r="AB50" s="134"/>
      <c r="AC50" s="134"/>
      <c r="AD50" s="134"/>
      <c r="AE50" s="134"/>
      <c r="AF50" s="134"/>
      <c r="AG50" s="134" t="s">
        <v>85</v>
      </c>
      <c r="AH50" s="134" t="s">
        <v>86</v>
      </c>
      <c r="AI50" s="134"/>
      <c r="AJ50" s="134"/>
      <c r="AK50" s="134"/>
      <c r="AL50" s="134" t="s">
        <v>57</v>
      </c>
      <c r="AM50" s="134"/>
      <c r="AN50" s="134"/>
      <c r="AO50" s="472"/>
      <c r="AP50" s="472"/>
      <c r="AQ50" s="472"/>
      <c r="AR50" s="135">
        <f>COUNTIF(B:B,B50)</f>
        <v>1</v>
      </c>
      <c r="AS50" s="135" t="str">
        <f t="shared" si="11"/>
        <v>2021_11_15_a</v>
      </c>
      <c r="AT50" s="136"/>
      <c r="AU50" s="135" t="str">
        <f t="shared" si="12"/>
        <v>2021</v>
      </c>
      <c r="AV50" s="135" t="str">
        <f t="shared" si="13"/>
        <v>11</v>
      </c>
      <c r="AW50" s="135" t="str">
        <f t="shared" si="14"/>
        <v>15</v>
      </c>
      <c r="AX50" s="135">
        <f t="shared" si="15"/>
        <v>44515</v>
      </c>
      <c r="AY50" s="137"/>
      <c r="AZ50" s="138">
        <f t="shared" si="16"/>
        <v>44515</v>
      </c>
      <c r="BA50" s="135" t="b">
        <f t="shared" si="17"/>
        <v>1</v>
      </c>
      <c r="BB50" s="135">
        <f t="shared" si="18"/>
        <v>44515</v>
      </c>
      <c r="BC50" s="135" t="str">
        <f t="shared" si="19"/>
        <v>no</v>
      </c>
      <c r="BD50" s="135" t="b">
        <f t="shared" si="20"/>
        <v>0</v>
      </c>
      <c r="BE50" s="139" t="s">
        <v>59</v>
      </c>
      <c r="BF50" s="136"/>
    </row>
    <row r="51" spans="1:58" s="126" customFormat="1" ht="154">
      <c r="A51" s="136"/>
      <c r="B51" s="134" t="s">
        <v>189</v>
      </c>
      <c r="C51" s="134"/>
      <c r="D51" s="131" t="s">
        <v>190</v>
      </c>
      <c r="E51" s="134"/>
      <c r="F51" s="131" t="s">
        <v>46</v>
      </c>
      <c r="G51" s="132" t="s">
        <v>191</v>
      </c>
      <c r="H51" s="151">
        <v>44522</v>
      </c>
      <c r="I51" s="132"/>
      <c r="J51" s="133">
        <v>44536</v>
      </c>
      <c r="K51" s="132"/>
      <c r="L51" s="132"/>
      <c r="M51" s="132"/>
      <c r="N51" s="132"/>
      <c r="O51" s="132"/>
      <c r="P51" s="132"/>
      <c r="Q51" s="134" t="s">
        <v>106</v>
      </c>
      <c r="R51" s="134" t="s">
        <v>50</v>
      </c>
      <c r="S51" s="134">
        <f t="shared" si="21"/>
        <v>146</v>
      </c>
      <c r="T51" s="134">
        <v>146</v>
      </c>
      <c r="U51" s="134">
        <v>0</v>
      </c>
      <c r="V51" s="134">
        <v>146</v>
      </c>
      <c r="W51" s="134"/>
      <c r="X51" s="134"/>
      <c r="Y51" s="134"/>
      <c r="Z51" s="134" t="s">
        <v>52</v>
      </c>
      <c r="AA51" s="134"/>
      <c r="AB51" s="134"/>
      <c r="AC51" s="134"/>
      <c r="AD51" s="134"/>
      <c r="AE51" s="134"/>
      <c r="AF51" s="134"/>
      <c r="AG51" s="134" t="s">
        <v>85</v>
      </c>
      <c r="AH51" s="134" t="s">
        <v>86</v>
      </c>
      <c r="AI51" s="134"/>
      <c r="AJ51" s="134"/>
      <c r="AK51" s="134"/>
      <c r="AL51" s="134" t="s">
        <v>57</v>
      </c>
      <c r="AM51" s="134"/>
      <c r="AN51" s="134"/>
      <c r="AO51" s="472"/>
      <c r="AP51" s="472"/>
      <c r="AQ51" s="472"/>
      <c r="AR51" s="135">
        <f>COUNTIF(B:B,B51)</f>
        <v>1</v>
      </c>
      <c r="AS51" s="135" t="str">
        <f t="shared" si="11"/>
        <v>2021_11_22_a</v>
      </c>
      <c r="AT51" s="136"/>
      <c r="AU51" s="135" t="str">
        <f t="shared" si="12"/>
        <v>2021</v>
      </c>
      <c r="AV51" s="135" t="str">
        <f t="shared" si="13"/>
        <v>11</v>
      </c>
      <c r="AW51" s="135" t="str">
        <f t="shared" si="14"/>
        <v>22</v>
      </c>
      <c r="AX51" s="135">
        <f t="shared" si="15"/>
        <v>44522</v>
      </c>
      <c r="AY51" s="137"/>
      <c r="AZ51" s="138">
        <f t="shared" si="16"/>
        <v>44522</v>
      </c>
      <c r="BA51" s="135" t="b">
        <f t="shared" si="17"/>
        <v>1</v>
      </c>
      <c r="BB51" s="135">
        <f t="shared" si="18"/>
        <v>44522</v>
      </c>
      <c r="BC51" s="135" t="str">
        <f t="shared" si="19"/>
        <v>no</v>
      </c>
      <c r="BD51" s="135" t="b">
        <f t="shared" si="20"/>
        <v>0</v>
      </c>
      <c r="BE51" s="139" t="s">
        <v>59</v>
      </c>
      <c r="BF51" s="136"/>
    </row>
    <row r="52" spans="1:58" s="126" customFormat="1" ht="154">
      <c r="A52" s="136"/>
      <c r="B52" s="134" t="s">
        <v>192</v>
      </c>
      <c r="C52" s="134"/>
      <c r="D52" s="131">
        <v>10245016</v>
      </c>
      <c r="E52" s="134"/>
      <c r="F52" s="131" t="s">
        <v>46</v>
      </c>
      <c r="G52" s="132" t="s">
        <v>193</v>
      </c>
      <c r="H52" s="151">
        <v>44585</v>
      </c>
      <c r="I52" s="132"/>
      <c r="J52" s="133">
        <v>44600</v>
      </c>
      <c r="K52" s="132"/>
      <c r="L52" s="132"/>
      <c r="M52" s="132"/>
      <c r="N52" s="132"/>
      <c r="O52" s="132"/>
      <c r="P52" s="132"/>
      <c r="Q52" s="134" t="s">
        <v>49</v>
      </c>
      <c r="R52" s="134" t="s">
        <v>50</v>
      </c>
      <c r="S52" s="134">
        <f t="shared" ref="S52" si="22">U52+V52</f>
        <v>144</v>
      </c>
      <c r="T52" s="134">
        <v>144</v>
      </c>
      <c r="U52" s="134">
        <v>0</v>
      </c>
      <c r="V52" s="134">
        <v>144</v>
      </c>
      <c r="W52" s="134"/>
      <c r="X52" s="134"/>
      <c r="Y52" s="134"/>
      <c r="Z52" s="134" t="s">
        <v>52</v>
      </c>
      <c r="AA52" s="134"/>
      <c r="AB52" s="134"/>
      <c r="AC52" s="134"/>
      <c r="AD52" s="134"/>
      <c r="AE52" s="134"/>
      <c r="AF52" s="134"/>
      <c r="AG52" s="134" t="s">
        <v>85</v>
      </c>
      <c r="AH52" s="134" t="s">
        <v>86</v>
      </c>
      <c r="AI52" s="134"/>
      <c r="AJ52" s="134"/>
      <c r="AK52" s="134"/>
      <c r="AL52" s="134" t="s">
        <v>57</v>
      </c>
      <c r="AM52" s="134"/>
      <c r="AN52" s="134"/>
      <c r="AO52" s="472"/>
      <c r="AP52" s="472"/>
      <c r="AQ52" s="472"/>
      <c r="AR52" s="135">
        <f>COUNTIF(B:B,B52)</f>
        <v>1</v>
      </c>
      <c r="AS52" s="135" t="str">
        <f t="shared" si="11"/>
        <v>2022_01_24_a</v>
      </c>
      <c r="AT52" s="136"/>
      <c r="AU52" s="135" t="str">
        <f t="shared" si="12"/>
        <v>2022</v>
      </c>
      <c r="AV52" s="135" t="str">
        <f t="shared" si="13"/>
        <v>01</v>
      </c>
      <c r="AW52" s="135" t="str">
        <f t="shared" si="14"/>
        <v>24</v>
      </c>
      <c r="AX52" s="135">
        <f t="shared" si="15"/>
        <v>44585</v>
      </c>
      <c r="AY52" s="137"/>
      <c r="AZ52" s="138">
        <f t="shared" si="16"/>
        <v>44585</v>
      </c>
      <c r="BA52" s="135" t="b">
        <f t="shared" si="17"/>
        <v>1</v>
      </c>
      <c r="BB52" s="135">
        <f t="shared" si="18"/>
        <v>44585</v>
      </c>
      <c r="BC52" s="135" t="str">
        <f t="shared" si="19"/>
        <v>no</v>
      </c>
      <c r="BD52" s="135" t="b">
        <f t="shared" si="20"/>
        <v>0</v>
      </c>
      <c r="BE52" s="139" t="s">
        <v>59</v>
      </c>
      <c r="BF52" s="136"/>
    </row>
    <row r="53" spans="1:58" s="126" customFormat="1" ht="154">
      <c r="A53" s="136"/>
      <c r="B53" s="134" t="s">
        <v>194</v>
      </c>
      <c r="C53" s="134"/>
      <c r="D53" s="131">
        <v>10250289</v>
      </c>
      <c r="E53" s="134"/>
      <c r="F53" s="131" t="s">
        <v>46</v>
      </c>
      <c r="G53" s="132" t="s">
        <v>195</v>
      </c>
      <c r="H53" s="151">
        <v>44606</v>
      </c>
      <c r="I53" s="132"/>
      <c r="J53" s="133">
        <v>44620</v>
      </c>
      <c r="K53" s="132"/>
      <c r="L53" s="132"/>
      <c r="M53" s="132"/>
      <c r="N53" s="132"/>
      <c r="O53" s="132"/>
      <c r="P53" s="132"/>
      <c r="Q53" s="134" t="s">
        <v>49</v>
      </c>
      <c r="R53" s="134" t="s">
        <v>50</v>
      </c>
      <c r="S53" s="134">
        <f t="shared" ref="S53:S54" si="23">U53+V53</f>
        <v>202</v>
      </c>
      <c r="T53" s="134"/>
      <c r="U53" s="134">
        <v>0</v>
      </c>
      <c r="V53" s="134">
        <v>202</v>
      </c>
      <c r="W53" s="134"/>
      <c r="X53" s="134"/>
      <c r="Y53" s="134"/>
      <c r="Z53" s="134" t="s">
        <v>52</v>
      </c>
      <c r="AA53" s="134"/>
      <c r="AB53" s="134"/>
      <c r="AC53" s="134"/>
      <c r="AD53" s="134"/>
      <c r="AE53" s="134"/>
      <c r="AF53" s="134"/>
      <c r="AG53" s="134" t="s">
        <v>85</v>
      </c>
      <c r="AH53" s="134" t="s">
        <v>86</v>
      </c>
      <c r="AI53" s="134"/>
      <c r="AJ53" s="134"/>
      <c r="AK53" s="134"/>
      <c r="AL53" s="134" t="s">
        <v>57</v>
      </c>
      <c r="AM53" s="134"/>
      <c r="AN53" s="134"/>
      <c r="AO53" s="472"/>
      <c r="AP53" s="472"/>
      <c r="AQ53" s="472"/>
      <c r="AR53" s="135">
        <f>COUNTIF(B:B,B53)</f>
        <v>1</v>
      </c>
      <c r="AS53" s="135" t="str">
        <f t="shared" si="11"/>
        <v>2022_02_14_a</v>
      </c>
      <c r="AT53" s="136"/>
      <c r="AU53" s="135" t="str">
        <f t="shared" si="12"/>
        <v>2022</v>
      </c>
      <c r="AV53" s="135" t="str">
        <f t="shared" si="13"/>
        <v>02</v>
      </c>
      <c r="AW53" s="135" t="str">
        <f t="shared" si="14"/>
        <v>14</v>
      </c>
      <c r="AX53" s="135">
        <f t="shared" si="15"/>
        <v>44606</v>
      </c>
      <c r="AY53" s="137"/>
      <c r="AZ53" s="138">
        <f t="shared" si="16"/>
        <v>44606</v>
      </c>
      <c r="BA53" s="135" t="b">
        <f t="shared" si="17"/>
        <v>1</v>
      </c>
      <c r="BB53" s="135">
        <f t="shared" si="18"/>
        <v>44606</v>
      </c>
      <c r="BC53" s="135" t="str">
        <f t="shared" si="19"/>
        <v>no</v>
      </c>
      <c r="BD53" s="135" t="b">
        <f t="shared" si="20"/>
        <v>0</v>
      </c>
      <c r="BE53" s="139" t="s">
        <v>59</v>
      </c>
      <c r="BF53" s="136"/>
    </row>
    <row r="54" spans="1:58" s="126" customFormat="1" ht="154">
      <c r="A54" s="136"/>
      <c r="B54" s="134" t="s">
        <v>196</v>
      </c>
      <c r="C54" s="134"/>
      <c r="D54" s="131">
        <v>10261300</v>
      </c>
      <c r="E54" s="134"/>
      <c r="F54" s="131" t="s">
        <v>46</v>
      </c>
      <c r="G54" s="133">
        <v>44648</v>
      </c>
      <c r="H54" s="151">
        <v>44648</v>
      </c>
      <c r="I54" s="132"/>
      <c r="J54" s="133">
        <v>44662</v>
      </c>
      <c r="K54" s="132"/>
      <c r="L54" s="132"/>
      <c r="M54" s="132"/>
      <c r="N54" s="132"/>
      <c r="O54" s="132"/>
      <c r="P54" s="132"/>
      <c r="Q54" s="134" t="s">
        <v>49</v>
      </c>
      <c r="R54" s="134" t="s">
        <v>50</v>
      </c>
      <c r="S54" s="134">
        <f t="shared" si="23"/>
        <v>163</v>
      </c>
      <c r="T54" s="134"/>
      <c r="U54" s="134">
        <v>0</v>
      </c>
      <c r="V54" s="134">
        <v>163</v>
      </c>
      <c r="W54" s="134"/>
      <c r="X54" s="134"/>
      <c r="Y54" s="134"/>
      <c r="Z54" s="134" t="s">
        <v>52</v>
      </c>
      <c r="AA54" s="134"/>
      <c r="AB54" s="134"/>
      <c r="AC54" s="134"/>
      <c r="AD54" s="134"/>
      <c r="AE54" s="134"/>
      <c r="AF54" s="134"/>
      <c r="AG54" s="134" t="s">
        <v>85</v>
      </c>
      <c r="AH54" s="134" t="s">
        <v>86</v>
      </c>
      <c r="AI54" s="134"/>
      <c r="AJ54" s="134"/>
      <c r="AK54" s="134"/>
      <c r="AL54" s="134" t="s">
        <v>57</v>
      </c>
      <c r="AM54" s="134"/>
      <c r="AN54" s="134"/>
      <c r="AO54" s="472"/>
      <c r="AP54" s="472"/>
      <c r="AQ54" s="472"/>
      <c r="AR54" s="135">
        <f>COUNTIF(B:B,B54)</f>
        <v>1</v>
      </c>
      <c r="AS54" s="135" t="str">
        <f t="shared" si="11"/>
        <v>2022_03_28_a</v>
      </c>
      <c r="AT54" s="136"/>
      <c r="AU54" s="135" t="str">
        <f t="shared" si="12"/>
        <v>2022</v>
      </c>
      <c r="AV54" s="135" t="str">
        <f t="shared" si="13"/>
        <v>03</v>
      </c>
      <c r="AW54" s="135" t="str">
        <f t="shared" si="14"/>
        <v>28</v>
      </c>
      <c r="AX54" s="135">
        <f t="shared" si="15"/>
        <v>44648</v>
      </c>
      <c r="AY54" s="137"/>
      <c r="AZ54" s="138">
        <f t="shared" si="16"/>
        <v>44648</v>
      </c>
      <c r="BA54" s="135" t="b">
        <f t="shared" si="17"/>
        <v>1</v>
      </c>
      <c r="BB54" s="135">
        <f t="shared" si="18"/>
        <v>44648</v>
      </c>
      <c r="BC54" s="135" t="str">
        <f t="shared" si="19"/>
        <v>no</v>
      </c>
      <c r="BD54" s="135" t="b">
        <f t="shared" si="20"/>
        <v>0</v>
      </c>
      <c r="BE54" s="139" t="s">
        <v>59</v>
      </c>
      <c r="BF54" s="136"/>
    </row>
    <row r="55" spans="1:58" s="126" customFormat="1" ht="154">
      <c r="A55" s="136"/>
      <c r="B55" s="134" t="s">
        <v>197</v>
      </c>
      <c r="C55" s="134"/>
      <c r="D55" s="131">
        <v>10263165</v>
      </c>
      <c r="E55" s="134"/>
      <c r="F55" s="131" t="s">
        <v>46</v>
      </c>
      <c r="G55" s="133">
        <v>44655</v>
      </c>
      <c r="H55" s="151">
        <v>44655</v>
      </c>
      <c r="I55" s="132"/>
      <c r="J55" s="133">
        <v>44670</v>
      </c>
      <c r="K55" s="132"/>
      <c r="L55" s="132"/>
      <c r="M55" s="132"/>
      <c r="N55" s="132"/>
      <c r="O55" s="132"/>
      <c r="P55" s="132"/>
      <c r="Q55" s="134" t="s">
        <v>82</v>
      </c>
      <c r="R55" s="134" t="s">
        <v>50</v>
      </c>
      <c r="S55" s="134">
        <f t="shared" ref="S55:S57" si="24">U55+V55</f>
        <v>130</v>
      </c>
      <c r="T55" s="134"/>
      <c r="U55" s="134">
        <v>0</v>
      </c>
      <c r="V55" s="134">
        <v>130</v>
      </c>
      <c r="W55" s="134"/>
      <c r="X55" s="134"/>
      <c r="Y55" s="134"/>
      <c r="Z55" s="134" t="s">
        <v>52</v>
      </c>
      <c r="AA55" s="134"/>
      <c r="AB55" s="134"/>
      <c r="AC55" s="134"/>
      <c r="AD55" s="134"/>
      <c r="AE55" s="134"/>
      <c r="AF55" s="134"/>
      <c r="AG55" s="134" t="s">
        <v>85</v>
      </c>
      <c r="AH55" s="134" t="s">
        <v>86</v>
      </c>
      <c r="AI55" s="134"/>
      <c r="AJ55" s="134"/>
      <c r="AK55" s="134"/>
      <c r="AL55" s="134" t="s">
        <v>57</v>
      </c>
      <c r="AM55" s="134"/>
      <c r="AN55" s="134"/>
      <c r="AO55" s="472"/>
      <c r="AP55" s="472"/>
      <c r="AQ55" s="472"/>
      <c r="AR55" s="135">
        <f>COUNTIF(B:B,B55)</f>
        <v>1</v>
      </c>
      <c r="AS55" s="135" t="str">
        <f t="shared" si="11"/>
        <v>2022_04_04_a</v>
      </c>
      <c r="AT55" s="136"/>
      <c r="AU55" s="135" t="str">
        <f t="shared" si="12"/>
        <v>2022</v>
      </c>
      <c r="AV55" s="135" t="str">
        <f t="shared" si="13"/>
        <v>04</v>
      </c>
      <c r="AW55" s="135" t="str">
        <f t="shared" si="14"/>
        <v>04</v>
      </c>
      <c r="AX55" s="135">
        <f t="shared" si="15"/>
        <v>44655</v>
      </c>
      <c r="AY55" s="137"/>
      <c r="AZ55" s="138">
        <f t="shared" si="16"/>
        <v>44655</v>
      </c>
      <c r="BA55" s="135" t="b">
        <f t="shared" si="17"/>
        <v>1</v>
      </c>
      <c r="BB55" s="135">
        <f t="shared" si="18"/>
        <v>44655</v>
      </c>
      <c r="BC55" s="135" t="str">
        <f t="shared" si="19"/>
        <v>no</v>
      </c>
      <c r="BD55" s="135" t="b">
        <f t="shared" si="20"/>
        <v>0</v>
      </c>
      <c r="BE55" s="139" t="s">
        <v>59</v>
      </c>
      <c r="BF55" s="136"/>
    </row>
    <row r="56" spans="1:58" s="126" customFormat="1" ht="154">
      <c r="A56" s="136"/>
      <c r="B56" s="134" t="s">
        <v>198</v>
      </c>
      <c r="C56" s="134"/>
      <c r="D56" s="131">
        <v>10269125</v>
      </c>
      <c r="E56" s="134"/>
      <c r="F56" s="131" t="s">
        <v>46</v>
      </c>
      <c r="G56" s="133">
        <v>44676</v>
      </c>
      <c r="H56" s="151">
        <v>44676</v>
      </c>
      <c r="I56" s="132"/>
      <c r="J56" s="133">
        <v>44692</v>
      </c>
      <c r="K56" s="132"/>
      <c r="L56" s="132"/>
      <c r="M56" s="132"/>
      <c r="N56" s="132"/>
      <c r="O56" s="132"/>
      <c r="P56" s="132"/>
      <c r="Q56" s="134" t="s">
        <v>82</v>
      </c>
      <c r="R56" s="134" t="s">
        <v>50</v>
      </c>
      <c r="S56" s="134">
        <f t="shared" si="24"/>
        <v>183</v>
      </c>
      <c r="T56" s="134"/>
      <c r="U56" s="134">
        <v>0</v>
      </c>
      <c r="V56" s="134">
        <v>183</v>
      </c>
      <c r="W56" s="134"/>
      <c r="X56" s="134"/>
      <c r="Y56" s="134"/>
      <c r="Z56" s="134" t="s">
        <v>52</v>
      </c>
      <c r="AA56" s="134"/>
      <c r="AB56" s="134"/>
      <c r="AC56" s="134"/>
      <c r="AD56" s="134"/>
      <c r="AE56" s="134"/>
      <c r="AF56" s="134"/>
      <c r="AG56" s="134" t="s">
        <v>85</v>
      </c>
      <c r="AH56" s="134" t="s">
        <v>86</v>
      </c>
      <c r="AI56" s="134"/>
      <c r="AJ56" s="134"/>
      <c r="AK56" s="134"/>
      <c r="AL56" s="134" t="s">
        <v>57</v>
      </c>
      <c r="AM56" s="134"/>
      <c r="AN56" s="134"/>
      <c r="AO56" s="472"/>
      <c r="AP56" s="472"/>
      <c r="AQ56" s="472"/>
      <c r="AR56" s="135">
        <f>COUNTIF(B:B,B56)</f>
        <v>1</v>
      </c>
      <c r="AS56" s="135" t="str">
        <f t="shared" si="11"/>
        <v>2022_04_25_a</v>
      </c>
      <c r="AT56" s="136"/>
      <c r="AU56" s="135" t="str">
        <f t="shared" si="12"/>
        <v>2022</v>
      </c>
      <c r="AV56" s="135" t="str">
        <f t="shared" si="13"/>
        <v>04</v>
      </c>
      <c r="AW56" s="135" t="str">
        <f t="shared" si="14"/>
        <v>25</v>
      </c>
      <c r="AX56" s="135">
        <f t="shared" si="15"/>
        <v>44676</v>
      </c>
      <c r="AY56" s="137"/>
      <c r="AZ56" s="138">
        <f t="shared" si="16"/>
        <v>44676</v>
      </c>
      <c r="BA56" s="135" t="b">
        <f t="shared" si="17"/>
        <v>1</v>
      </c>
      <c r="BB56" s="135">
        <f t="shared" si="18"/>
        <v>44676</v>
      </c>
      <c r="BC56" s="135" t="str">
        <f t="shared" si="19"/>
        <v>no</v>
      </c>
      <c r="BD56" s="135" t="b">
        <f t="shared" si="20"/>
        <v>0</v>
      </c>
      <c r="BE56" s="139" t="s">
        <v>59</v>
      </c>
      <c r="BF56" s="136"/>
    </row>
    <row r="57" spans="1:58" s="126" customFormat="1" ht="154">
      <c r="A57" s="136"/>
      <c r="B57" s="134" t="s">
        <v>199</v>
      </c>
      <c r="C57" s="134"/>
      <c r="D57" s="131">
        <v>10270542</v>
      </c>
      <c r="E57" s="134"/>
      <c r="F57" s="131" t="s">
        <v>46</v>
      </c>
      <c r="G57" s="133">
        <v>44683</v>
      </c>
      <c r="H57" s="151">
        <v>44683</v>
      </c>
      <c r="I57" s="132"/>
      <c r="J57" s="133">
        <v>44698</v>
      </c>
      <c r="K57" s="132"/>
      <c r="L57" s="132"/>
      <c r="M57" s="132"/>
      <c r="N57" s="132"/>
      <c r="O57" s="132"/>
      <c r="P57" s="132"/>
      <c r="Q57" s="134" t="s">
        <v>82</v>
      </c>
      <c r="R57" s="134" t="s">
        <v>50</v>
      </c>
      <c r="S57" s="134">
        <f t="shared" si="24"/>
        <v>233</v>
      </c>
      <c r="T57" s="134"/>
      <c r="U57" s="134">
        <v>0</v>
      </c>
      <c r="V57" s="134">
        <v>233</v>
      </c>
      <c r="W57" s="134"/>
      <c r="X57" s="134"/>
      <c r="Y57" s="134"/>
      <c r="Z57" s="134" t="s">
        <v>52</v>
      </c>
      <c r="AA57" s="134"/>
      <c r="AB57" s="134"/>
      <c r="AC57" s="134"/>
      <c r="AD57" s="134"/>
      <c r="AE57" s="134"/>
      <c r="AF57" s="134"/>
      <c r="AG57" s="134" t="s">
        <v>85</v>
      </c>
      <c r="AH57" s="134" t="s">
        <v>86</v>
      </c>
      <c r="AI57" s="134"/>
      <c r="AJ57" s="134"/>
      <c r="AK57" s="134"/>
      <c r="AL57" s="134" t="s">
        <v>57</v>
      </c>
      <c r="AM57" s="134"/>
      <c r="AN57" s="134"/>
      <c r="AO57" s="472"/>
      <c r="AP57" s="472"/>
      <c r="AQ57" s="472"/>
      <c r="AR57" s="135">
        <f>COUNTIF(B:B,B57)</f>
        <v>1</v>
      </c>
      <c r="AS57" s="135" t="str">
        <f t="shared" si="11"/>
        <v>2022_05_02_a</v>
      </c>
      <c r="AT57" s="136"/>
      <c r="AU57" s="135" t="str">
        <f t="shared" si="12"/>
        <v>2022</v>
      </c>
      <c r="AV57" s="135" t="str">
        <f t="shared" si="13"/>
        <v>05</v>
      </c>
      <c r="AW57" s="135" t="str">
        <f t="shared" si="14"/>
        <v>02</v>
      </c>
      <c r="AX57" s="135">
        <f t="shared" si="15"/>
        <v>44683</v>
      </c>
      <c r="AY57" s="137"/>
      <c r="AZ57" s="138">
        <f t="shared" si="16"/>
        <v>44683</v>
      </c>
      <c r="BA57" s="135" t="b">
        <f t="shared" si="17"/>
        <v>1</v>
      </c>
      <c r="BB57" s="135">
        <f t="shared" si="18"/>
        <v>44683</v>
      </c>
      <c r="BC57" s="135" t="str">
        <f t="shared" si="19"/>
        <v>no</v>
      </c>
      <c r="BD57" s="135" t="b">
        <f t="shared" si="20"/>
        <v>0</v>
      </c>
      <c r="BE57" s="139" t="s">
        <v>59</v>
      </c>
      <c r="BF57" s="136"/>
    </row>
    <row r="58" spans="1:58" s="126" customFormat="1" ht="154">
      <c r="A58" s="136"/>
      <c r="B58" s="134" t="s">
        <v>200</v>
      </c>
      <c r="C58" s="134"/>
      <c r="D58" s="131">
        <v>10274322</v>
      </c>
      <c r="E58" s="134"/>
      <c r="F58" s="131" t="s">
        <v>46</v>
      </c>
      <c r="G58" s="133">
        <v>44697</v>
      </c>
      <c r="H58" s="151">
        <v>44697</v>
      </c>
      <c r="I58" s="132"/>
      <c r="J58" s="133">
        <v>44711</v>
      </c>
      <c r="K58" s="132"/>
      <c r="L58" s="132"/>
      <c r="M58" s="132"/>
      <c r="N58" s="132"/>
      <c r="O58" s="132"/>
      <c r="P58" s="132"/>
      <c r="Q58" s="134" t="s">
        <v>82</v>
      </c>
      <c r="R58" s="134" t="s">
        <v>50</v>
      </c>
      <c r="S58" s="134">
        <f t="shared" ref="S58" si="25">U58+V58</f>
        <v>213</v>
      </c>
      <c r="T58" s="134"/>
      <c r="U58" s="134">
        <v>0</v>
      </c>
      <c r="V58" s="134">
        <v>213</v>
      </c>
      <c r="W58" s="134"/>
      <c r="X58" s="134"/>
      <c r="Y58" s="134"/>
      <c r="Z58" s="134" t="s">
        <v>52</v>
      </c>
      <c r="AA58" s="134"/>
      <c r="AB58" s="134"/>
      <c r="AC58" s="134"/>
      <c r="AD58" s="134"/>
      <c r="AE58" s="134"/>
      <c r="AF58" s="134"/>
      <c r="AG58" s="134" t="s">
        <v>85</v>
      </c>
      <c r="AH58" s="134" t="s">
        <v>86</v>
      </c>
      <c r="AI58" s="134"/>
      <c r="AJ58" s="134"/>
      <c r="AK58" s="134"/>
      <c r="AL58" s="134" t="s">
        <v>57</v>
      </c>
      <c r="AM58" s="134"/>
      <c r="AN58" s="134"/>
      <c r="AO58" s="472"/>
      <c r="AP58" s="472"/>
      <c r="AQ58" s="472"/>
      <c r="AR58" s="135">
        <f>COUNTIF(B:B,B58)</f>
        <v>1</v>
      </c>
      <c r="AS58" s="135" t="str">
        <f t="shared" si="11"/>
        <v>2022_05_16_a</v>
      </c>
      <c r="AT58" s="136"/>
      <c r="AU58" s="135" t="str">
        <f t="shared" si="12"/>
        <v>2022</v>
      </c>
      <c r="AV58" s="135" t="str">
        <f t="shared" si="13"/>
        <v>05</v>
      </c>
      <c r="AW58" s="135" t="str">
        <f t="shared" si="14"/>
        <v>16</v>
      </c>
      <c r="AX58" s="135">
        <f t="shared" si="15"/>
        <v>44697</v>
      </c>
      <c r="AY58" s="137"/>
      <c r="AZ58" s="138">
        <f t="shared" si="16"/>
        <v>44697</v>
      </c>
      <c r="BA58" s="135" t="b">
        <f t="shared" si="17"/>
        <v>1</v>
      </c>
      <c r="BB58" s="135">
        <f t="shared" si="18"/>
        <v>44697</v>
      </c>
      <c r="BC58" s="135" t="str">
        <f t="shared" si="19"/>
        <v>no</v>
      </c>
      <c r="BD58" s="135" t="b">
        <f t="shared" si="20"/>
        <v>0</v>
      </c>
      <c r="BE58" s="139" t="s">
        <v>59</v>
      </c>
      <c r="BF58" s="136"/>
    </row>
    <row r="59" spans="1:58" s="126" customFormat="1" ht="154">
      <c r="A59" s="136"/>
      <c r="B59" s="134" t="s">
        <v>201</v>
      </c>
      <c r="C59" s="134"/>
      <c r="D59" s="131">
        <v>10276208</v>
      </c>
      <c r="E59" s="134"/>
      <c r="F59" s="131" t="s">
        <v>46</v>
      </c>
      <c r="G59" s="133">
        <v>44704</v>
      </c>
      <c r="H59" s="151">
        <v>44704</v>
      </c>
      <c r="I59" s="132"/>
      <c r="J59" s="133">
        <v>44718</v>
      </c>
      <c r="K59" s="132"/>
      <c r="L59" s="132"/>
      <c r="M59" s="132"/>
      <c r="N59" s="132"/>
      <c r="O59" s="132"/>
      <c r="P59" s="132"/>
      <c r="Q59" s="134" t="s">
        <v>82</v>
      </c>
      <c r="R59" s="134" t="s">
        <v>50</v>
      </c>
      <c r="S59" s="134">
        <f t="shared" ref="S59" si="26">U59+V59</f>
        <v>164</v>
      </c>
      <c r="T59" s="134"/>
      <c r="U59" s="134">
        <v>0</v>
      </c>
      <c r="V59" s="134">
        <v>164</v>
      </c>
      <c r="W59" s="134"/>
      <c r="X59" s="134"/>
      <c r="Y59" s="134"/>
      <c r="Z59" s="134" t="s">
        <v>52</v>
      </c>
      <c r="AA59" s="134"/>
      <c r="AB59" s="134"/>
      <c r="AC59" s="134"/>
      <c r="AD59" s="134"/>
      <c r="AE59" s="134"/>
      <c r="AF59" s="134"/>
      <c r="AG59" s="134" t="s">
        <v>85</v>
      </c>
      <c r="AH59" s="134" t="s">
        <v>86</v>
      </c>
      <c r="AI59" s="134"/>
      <c r="AJ59" s="134"/>
      <c r="AK59" s="134"/>
      <c r="AL59" s="134" t="s">
        <v>57</v>
      </c>
      <c r="AM59" s="134"/>
      <c r="AN59" s="134"/>
      <c r="AO59" s="472"/>
      <c r="AP59" s="472"/>
      <c r="AQ59" s="472"/>
      <c r="AR59" s="135">
        <f>COUNTIF(B:B,B59)</f>
        <v>1</v>
      </c>
      <c r="AS59" s="135" t="str">
        <f t="shared" si="11"/>
        <v>2022_05_23_a</v>
      </c>
      <c r="AT59" s="136"/>
      <c r="AU59" s="135" t="str">
        <f t="shared" si="12"/>
        <v>2022</v>
      </c>
      <c r="AV59" s="135" t="str">
        <f t="shared" si="13"/>
        <v>05</v>
      </c>
      <c r="AW59" s="135" t="str">
        <f t="shared" si="14"/>
        <v>23</v>
      </c>
      <c r="AX59" s="135">
        <f t="shared" si="15"/>
        <v>44704</v>
      </c>
      <c r="AY59" s="137"/>
      <c r="AZ59" s="138">
        <f t="shared" si="16"/>
        <v>44704</v>
      </c>
      <c r="BA59" s="135" t="b">
        <f t="shared" si="17"/>
        <v>1</v>
      </c>
      <c r="BB59" s="135">
        <f t="shared" si="18"/>
        <v>44704</v>
      </c>
      <c r="BC59" s="135" t="str">
        <f t="shared" si="19"/>
        <v>no</v>
      </c>
      <c r="BD59" s="135" t="b">
        <f t="shared" si="20"/>
        <v>0</v>
      </c>
      <c r="BE59" s="139" t="s">
        <v>59</v>
      </c>
      <c r="BF59" s="136"/>
    </row>
    <row r="60" spans="1:58" s="126" customFormat="1" ht="154">
      <c r="A60" s="136"/>
      <c r="B60" s="134" t="s">
        <v>202</v>
      </c>
      <c r="C60" s="134"/>
      <c r="D60" s="131">
        <v>10278409</v>
      </c>
      <c r="E60" s="134"/>
      <c r="F60" s="131" t="s">
        <v>46</v>
      </c>
      <c r="G60" s="133">
        <v>44711</v>
      </c>
      <c r="H60" s="151">
        <v>44711</v>
      </c>
      <c r="I60" s="132"/>
      <c r="J60" s="133">
        <v>44725</v>
      </c>
      <c r="K60" s="132"/>
      <c r="L60" s="132"/>
      <c r="M60" s="132"/>
      <c r="N60" s="132"/>
      <c r="O60" s="132"/>
      <c r="P60" s="132"/>
      <c r="Q60" s="134" t="s">
        <v>82</v>
      </c>
      <c r="R60" s="134" t="s">
        <v>50</v>
      </c>
      <c r="S60" s="134">
        <f t="shared" ref="S60:S63" si="27">U60+V60</f>
        <v>135</v>
      </c>
      <c r="T60" s="134"/>
      <c r="U60" s="134">
        <v>0</v>
      </c>
      <c r="V60" s="134">
        <v>135</v>
      </c>
      <c r="W60" s="134"/>
      <c r="X60" s="134"/>
      <c r="Y60" s="134"/>
      <c r="Z60" s="134" t="s">
        <v>52</v>
      </c>
      <c r="AA60" s="134"/>
      <c r="AB60" s="134"/>
      <c r="AC60" s="134"/>
      <c r="AD60" s="134"/>
      <c r="AE60" s="134"/>
      <c r="AF60" s="134"/>
      <c r="AG60" s="134" t="s">
        <v>85</v>
      </c>
      <c r="AH60" s="134" t="s">
        <v>86</v>
      </c>
      <c r="AI60" s="134"/>
      <c r="AJ60" s="134"/>
      <c r="AK60" s="134"/>
      <c r="AL60" s="134" t="s">
        <v>57</v>
      </c>
      <c r="AM60" s="134"/>
      <c r="AN60" s="134"/>
      <c r="AO60" s="472"/>
      <c r="AP60" s="472"/>
      <c r="AQ60" s="472"/>
      <c r="AR60" s="135">
        <f>COUNTIF(B:B,B60)</f>
        <v>1</v>
      </c>
      <c r="AS60" s="135" t="str">
        <f t="shared" si="11"/>
        <v>2022_05_30_a</v>
      </c>
      <c r="AT60" s="136"/>
      <c r="AU60" s="135" t="str">
        <f t="shared" si="12"/>
        <v>2022</v>
      </c>
      <c r="AV60" s="135" t="str">
        <f t="shared" si="13"/>
        <v>05</v>
      </c>
      <c r="AW60" s="135" t="str">
        <f t="shared" si="14"/>
        <v>30</v>
      </c>
      <c r="AX60" s="135">
        <f t="shared" si="15"/>
        <v>44711</v>
      </c>
      <c r="AY60" s="137"/>
      <c r="AZ60" s="138">
        <f t="shared" si="16"/>
        <v>44711</v>
      </c>
      <c r="BA60" s="135" t="b">
        <f t="shared" si="17"/>
        <v>1</v>
      </c>
      <c r="BB60" s="135">
        <f t="shared" si="18"/>
        <v>44711</v>
      </c>
      <c r="BC60" s="135" t="str">
        <f t="shared" si="19"/>
        <v>no</v>
      </c>
      <c r="BD60" s="135" t="b">
        <f t="shared" si="20"/>
        <v>0</v>
      </c>
      <c r="BE60" s="139" t="s">
        <v>59</v>
      </c>
      <c r="BF60" s="136"/>
    </row>
    <row r="61" spans="1:58" s="126" customFormat="1" ht="154">
      <c r="A61" s="136"/>
      <c r="B61" s="134" t="s">
        <v>203</v>
      </c>
      <c r="C61" s="134"/>
      <c r="D61" s="131">
        <v>10280350</v>
      </c>
      <c r="E61" s="134"/>
      <c r="F61" s="131" t="s">
        <v>46</v>
      </c>
      <c r="G61" s="133">
        <v>44718</v>
      </c>
      <c r="H61" s="133">
        <v>44718</v>
      </c>
      <c r="I61" s="132"/>
      <c r="J61" s="133">
        <v>44732</v>
      </c>
      <c r="K61" s="132"/>
      <c r="L61" s="132"/>
      <c r="M61" s="132"/>
      <c r="N61" s="132"/>
      <c r="O61" s="132"/>
      <c r="P61" s="132"/>
      <c r="Q61" s="134" t="s">
        <v>82</v>
      </c>
      <c r="R61" s="134" t="s">
        <v>50</v>
      </c>
      <c r="S61" s="134">
        <f t="shared" si="27"/>
        <v>229</v>
      </c>
      <c r="T61" s="134">
        <v>204</v>
      </c>
      <c r="U61" s="134">
        <v>0</v>
      </c>
      <c r="V61" s="134">
        <v>229</v>
      </c>
      <c r="W61" s="134"/>
      <c r="X61" s="134"/>
      <c r="Y61" s="134"/>
      <c r="Z61" s="134" t="s">
        <v>52</v>
      </c>
      <c r="AA61" s="134"/>
      <c r="AB61" s="134"/>
      <c r="AC61" s="134"/>
      <c r="AD61" s="134"/>
      <c r="AE61" s="134"/>
      <c r="AF61" s="134"/>
      <c r="AG61" s="134" t="s">
        <v>85</v>
      </c>
      <c r="AH61" s="134" t="s">
        <v>86</v>
      </c>
      <c r="AI61" s="134"/>
      <c r="AJ61" s="134"/>
      <c r="AK61" s="134"/>
      <c r="AL61" s="134" t="s">
        <v>57</v>
      </c>
      <c r="AM61" s="134"/>
      <c r="AN61" s="134"/>
      <c r="AO61" s="472"/>
      <c r="AP61" s="472"/>
      <c r="AQ61" s="472"/>
      <c r="AR61" s="135">
        <f>COUNTIF(B:B,B61)</f>
        <v>1</v>
      </c>
      <c r="AS61" s="135" t="str">
        <f t="shared" si="11"/>
        <v>2022_06_06_a</v>
      </c>
      <c r="AT61" s="136"/>
      <c r="AU61" s="135" t="str">
        <f t="shared" si="12"/>
        <v>2022</v>
      </c>
      <c r="AV61" s="135" t="str">
        <f t="shared" si="13"/>
        <v>06</v>
      </c>
      <c r="AW61" s="135" t="str">
        <f t="shared" si="14"/>
        <v>06</v>
      </c>
      <c r="AX61" s="135">
        <f t="shared" si="15"/>
        <v>44718</v>
      </c>
      <c r="AY61" s="137"/>
      <c r="AZ61" s="138">
        <f t="shared" si="16"/>
        <v>44718</v>
      </c>
      <c r="BA61" s="135" t="b">
        <f t="shared" si="17"/>
        <v>1</v>
      </c>
      <c r="BB61" s="135">
        <f t="shared" si="18"/>
        <v>44718</v>
      </c>
      <c r="BC61" s="135" t="str">
        <f t="shared" si="19"/>
        <v>no</v>
      </c>
      <c r="BD61" s="135" t="b">
        <f t="shared" si="20"/>
        <v>0</v>
      </c>
      <c r="BE61" s="139" t="s">
        <v>59</v>
      </c>
      <c r="BF61" s="136"/>
    </row>
    <row r="62" spans="1:58" s="126" customFormat="1" ht="154">
      <c r="A62" s="136"/>
      <c r="B62" s="134" t="s">
        <v>204</v>
      </c>
      <c r="C62" s="134"/>
      <c r="D62" s="131">
        <v>10281689</v>
      </c>
      <c r="E62" s="134"/>
      <c r="F62" s="131" t="s">
        <v>46</v>
      </c>
      <c r="G62" s="133">
        <v>44725</v>
      </c>
      <c r="H62" s="133">
        <v>44725</v>
      </c>
      <c r="I62" s="132"/>
      <c r="J62" s="133">
        <v>44739</v>
      </c>
      <c r="K62" s="132"/>
      <c r="L62" s="132"/>
      <c r="M62" s="132"/>
      <c r="N62" s="132"/>
      <c r="O62" s="132"/>
      <c r="P62" s="132"/>
      <c r="Q62" s="134" t="s">
        <v>82</v>
      </c>
      <c r="R62" s="134" t="s">
        <v>50</v>
      </c>
      <c r="S62" s="134">
        <f t="shared" si="27"/>
        <v>122</v>
      </c>
      <c r="T62" s="134">
        <v>245</v>
      </c>
      <c r="U62" s="134">
        <v>0</v>
      </c>
      <c r="V62" s="134">
        <v>122</v>
      </c>
      <c r="W62" s="134"/>
      <c r="X62" s="134"/>
      <c r="Y62" s="134"/>
      <c r="Z62" s="134" t="s">
        <v>52</v>
      </c>
      <c r="AA62" s="134"/>
      <c r="AB62" s="134"/>
      <c r="AC62" s="134"/>
      <c r="AD62" s="134"/>
      <c r="AE62" s="134"/>
      <c r="AF62" s="134"/>
      <c r="AG62" s="134" t="s">
        <v>85</v>
      </c>
      <c r="AH62" s="134" t="s">
        <v>86</v>
      </c>
      <c r="AI62" s="134"/>
      <c r="AJ62" s="134"/>
      <c r="AK62" s="134"/>
      <c r="AL62" s="134" t="s">
        <v>57</v>
      </c>
      <c r="AM62" s="134"/>
      <c r="AN62" s="134"/>
      <c r="AO62" s="472"/>
      <c r="AP62" s="472"/>
      <c r="AQ62" s="472"/>
      <c r="AR62" s="135">
        <f>COUNTIF(B:B,B62)</f>
        <v>1</v>
      </c>
      <c r="AS62" s="135" t="str">
        <f t="shared" si="11"/>
        <v>2022_06_13_a</v>
      </c>
      <c r="AT62" s="136"/>
      <c r="AU62" s="135" t="str">
        <f t="shared" si="12"/>
        <v>2022</v>
      </c>
      <c r="AV62" s="135" t="str">
        <f t="shared" si="13"/>
        <v>06</v>
      </c>
      <c r="AW62" s="135" t="str">
        <f t="shared" si="14"/>
        <v>13</v>
      </c>
      <c r="AX62" s="135">
        <f t="shared" si="15"/>
        <v>44725</v>
      </c>
      <c r="AY62" s="137"/>
      <c r="AZ62" s="138">
        <f t="shared" si="16"/>
        <v>44725</v>
      </c>
      <c r="BA62" s="135" t="b">
        <f t="shared" si="17"/>
        <v>1</v>
      </c>
      <c r="BB62" s="135">
        <f t="shared" si="18"/>
        <v>44725</v>
      </c>
      <c r="BC62" s="135" t="str">
        <f t="shared" si="19"/>
        <v>no</v>
      </c>
      <c r="BD62" s="135" t="b">
        <f t="shared" si="20"/>
        <v>0</v>
      </c>
      <c r="BE62" s="139" t="s">
        <v>59</v>
      </c>
      <c r="BF62" s="136"/>
    </row>
    <row r="63" spans="1:58" s="126" customFormat="1" ht="154">
      <c r="A63" s="136"/>
      <c r="B63" s="134" t="s">
        <v>205</v>
      </c>
      <c r="C63" s="134"/>
      <c r="D63" s="131">
        <v>10283216</v>
      </c>
      <c r="E63" s="134"/>
      <c r="F63" s="131" t="s">
        <v>46</v>
      </c>
      <c r="G63" s="133">
        <v>44732</v>
      </c>
      <c r="H63" s="133">
        <v>44732</v>
      </c>
      <c r="I63" s="132"/>
      <c r="J63" s="133">
        <v>44746</v>
      </c>
      <c r="K63" s="132"/>
      <c r="L63" s="132"/>
      <c r="M63" s="132"/>
      <c r="N63" s="132"/>
      <c r="O63" s="132"/>
      <c r="P63" s="132"/>
      <c r="Q63" s="134" t="s">
        <v>82</v>
      </c>
      <c r="R63" s="134" t="s">
        <v>50</v>
      </c>
      <c r="S63" s="134">
        <f t="shared" si="27"/>
        <v>93</v>
      </c>
      <c r="T63" s="134">
        <v>164</v>
      </c>
      <c r="U63" s="134">
        <v>0</v>
      </c>
      <c r="V63" s="134">
        <v>93</v>
      </c>
      <c r="W63" s="134"/>
      <c r="X63" s="134"/>
      <c r="Y63" s="134"/>
      <c r="Z63" s="134" t="s">
        <v>52</v>
      </c>
      <c r="AA63" s="134"/>
      <c r="AB63" s="134"/>
      <c r="AC63" s="134"/>
      <c r="AD63" s="134"/>
      <c r="AE63" s="134"/>
      <c r="AF63" s="134"/>
      <c r="AG63" s="134" t="s">
        <v>85</v>
      </c>
      <c r="AH63" s="134" t="s">
        <v>86</v>
      </c>
      <c r="AI63" s="134"/>
      <c r="AJ63" s="134"/>
      <c r="AK63" s="134"/>
      <c r="AL63" s="134" t="s">
        <v>57</v>
      </c>
      <c r="AM63" s="134"/>
      <c r="AN63" s="134"/>
      <c r="AO63" s="472"/>
      <c r="AP63" s="472"/>
      <c r="AQ63" s="472"/>
      <c r="AR63" s="135">
        <f>COUNTIF(B:B,B63)</f>
        <v>1</v>
      </c>
      <c r="AS63" s="135" t="str">
        <f t="shared" si="11"/>
        <v>2022_06_20_a</v>
      </c>
      <c r="AT63" s="136"/>
      <c r="AU63" s="135" t="str">
        <f t="shared" si="12"/>
        <v>2022</v>
      </c>
      <c r="AV63" s="135" t="str">
        <f t="shared" si="13"/>
        <v>06</v>
      </c>
      <c r="AW63" s="135" t="str">
        <f t="shared" si="14"/>
        <v>20</v>
      </c>
      <c r="AX63" s="135">
        <f t="shared" si="15"/>
        <v>44732</v>
      </c>
      <c r="AY63" s="137"/>
      <c r="AZ63" s="138">
        <f t="shared" si="16"/>
        <v>44732</v>
      </c>
      <c r="BA63" s="135" t="b">
        <f t="shared" si="17"/>
        <v>1</v>
      </c>
      <c r="BB63" s="135">
        <f t="shared" si="18"/>
        <v>44732</v>
      </c>
      <c r="BC63" s="135" t="str">
        <f t="shared" si="19"/>
        <v>no</v>
      </c>
      <c r="BD63" s="135" t="b">
        <f t="shared" si="20"/>
        <v>0</v>
      </c>
      <c r="BE63" s="139" t="s">
        <v>59</v>
      </c>
      <c r="BF63" s="136"/>
    </row>
    <row r="64" spans="1:58" s="126" customFormat="1" ht="154">
      <c r="A64" s="136"/>
      <c r="B64" s="134" t="s">
        <v>206</v>
      </c>
      <c r="C64" s="134"/>
      <c r="D64" s="131">
        <v>10285242</v>
      </c>
      <c r="E64" s="134"/>
      <c r="F64" s="131" t="s">
        <v>46</v>
      </c>
      <c r="G64" s="133">
        <v>44739</v>
      </c>
      <c r="H64" s="133">
        <v>44739</v>
      </c>
      <c r="I64" s="132"/>
      <c r="J64" s="133">
        <v>44753</v>
      </c>
      <c r="K64" s="132"/>
      <c r="L64" s="132"/>
      <c r="M64" s="132"/>
      <c r="N64" s="132"/>
      <c r="O64" s="132"/>
      <c r="P64" s="132"/>
      <c r="Q64" s="134" t="s">
        <v>82</v>
      </c>
      <c r="R64" s="134" t="s">
        <v>50</v>
      </c>
      <c r="S64" s="134">
        <f t="shared" ref="S64" si="28">U64+V64</f>
        <v>255</v>
      </c>
      <c r="T64" s="134">
        <v>164</v>
      </c>
      <c r="U64" s="134">
        <v>0</v>
      </c>
      <c r="V64" s="134">
        <v>255</v>
      </c>
      <c r="W64" s="134"/>
      <c r="X64" s="134"/>
      <c r="Y64" s="134"/>
      <c r="Z64" s="134" t="s">
        <v>52</v>
      </c>
      <c r="AA64" s="134"/>
      <c r="AB64" s="134"/>
      <c r="AC64" s="134"/>
      <c r="AD64" s="134"/>
      <c r="AE64" s="134"/>
      <c r="AF64" s="134"/>
      <c r="AG64" s="134" t="s">
        <v>85</v>
      </c>
      <c r="AH64" s="134" t="s">
        <v>86</v>
      </c>
      <c r="AI64" s="134"/>
      <c r="AJ64" s="134"/>
      <c r="AK64" s="134"/>
      <c r="AL64" s="134" t="s">
        <v>57</v>
      </c>
      <c r="AM64" s="134"/>
      <c r="AN64" s="134"/>
      <c r="AO64" s="472"/>
      <c r="AP64" s="472"/>
      <c r="AQ64" s="472"/>
      <c r="AR64" s="135">
        <f>COUNTIF(B:B,B64)</f>
        <v>1</v>
      </c>
      <c r="AS64" s="135" t="str">
        <f t="shared" si="11"/>
        <v>2022_06_27_a</v>
      </c>
      <c r="AT64" s="136"/>
      <c r="AU64" s="135" t="str">
        <f t="shared" si="12"/>
        <v>2022</v>
      </c>
      <c r="AV64" s="135" t="str">
        <f t="shared" si="13"/>
        <v>06</v>
      </c>
      <c r="AW64" s="135" t="str">
        <f t="shared" si="14"/>
        <v>27</v>
      </c>
      <c r="AX64" s="135">
        <f t="shared" si="15"/>
        <v>44739</v>
      </c>
      <c r="AY64" s="137"/>
      <c r="AZ64" s="138">
        <f t="shared" si="16"/>
        <v>44739</v>
      </c>
      <c r="BA64" s="135" t="b">
        <f t="shared" si="17"/>
        <v>1</v>
      </c>
      <c r="BB64" s="135">
        <f t="shared" si="18"/>
        <v>44739</v>
      </c>
      <c r="BC64" s="135" t="str">
        <f t="shared" si="19"/>
        <v>no</v>
      </c>
      <c r="BD64" s="135" t="b">
        <f t="shared" si="20"/>
        <v>0</v>
      </c>
      <c r="BE64" s="139" t="s">
        <v>59</v>
      </c>
      <c r="BF64" s="136"/>
    </row>
    <row r="65" spans="1:58" s="126" customFormat="1" ht="154">
      <c r="A65" s="136"/>
      <c r="B65" s="134" t="s">
        <v>207</v>
      </c>
      <c r="C65" s="134"/>
      <c r="D65" s="131">
        <v>10289241</v>
      </c>
      <c r="E65" s="134"/>
      <c r="F65" s="131" t="s">
        <v>46</v>
      </c>
      <c r="G65" s="133">
        <v>44753</v>
      </c>
      <c r="H65" s="133">
        <v>44753</v>
      </c>
      <c r="I65" s="132"/>
      <c r="J65" s="133">
        <v>44767</v>
      </c>
      <c r="K65" s="132"/>
      <c r="L65" s="132"/>
      <c r="M65" s="132"/>
      <c r="N65" s="132"/>
      <c r="O65" s="132"/>
      <c r="P65" s="132"/>
      <c r="Q65" s="134" t="s">
        <v>93</v>
      </c>
      <c r="R65" s="134" t="s">
        <v>50</v>
      </c>
      <c r="S65" s="134">
        <f t="shared" ref="S65" si="29">U65+V65</f>
        <v>188</v>
      </c>
      <c r="T65" s="134">
        <v>164</v>
      </c>
      <c r="U65" s="134">
        <v>0</v>
      </c>
      <c r="V65" s="134">
        <v>188</v>
      </c>
      <c r="W65" s="134"/>
      <c r="X65" s="134"/>
      <c r="Y65" s="134"/>
      <c r="Z65" s="134" t="s">
        <v>52</v>
      </c>
      <c r="AA65" s="134"/>
      <c r="AB65" s="134"/>
      <c r="AC65" s="134"/>
      <c r="AD65" s="134"/>
      <c r="AE65" s="134"/>
      <c r="AF65" s="134"/>
      <c r="AG65" s="134" t="s">
        <v>85</v>
      </c>
      <c r="AH65" s="134" t="s">
        <v>86</v>
      </c>
      <c r="AI65" s="134"/>
      <c r="AJ65" s="134"/>
      <c r="AK65" s="134"/>
      <c r="AL65" s="134" t="s">
        <v>57</v>
      </c>
      <c r="AM65" s="134"/>
      <c r="AN65" s="134"/>
      <c r="AO65" s="472"/>
      <c r="AP65" s="472"/>
      <c r="AQ65" s="472"/>
      <c r="AR65" s="135">
        <f>COUNTIF(B:B,B65)</f>
        <v>1</v>
      </c>
      <c r="AS65" s="135" t="str">
        <f t="shared" si="11"/>
        <v>2022_07_11_a</v>
      </c>
      <c r="AT65" s="136"/>
      <c r="AU65" s="135" t="str">
        <f t="shared" si="12"/>
        <v>2022</v>
      </c>
      <c r="AV65" s="135" t="str">
        <f t="shared" si="13"/>
        <v>07</v>
      </c>
      <c r="AW65" s="135" t="str">
        <f t="shared" si="14"/>
        <v>11</v>
      </c>
      <c r="AX65" s="135">
        <f t="shared" si="15"/>
        <v>44753</v>
      </c>
      <c r="AY65" s="137"/>
      <c r="AZ65" s="138">
        <f t="shared" si="16"/>
        <v>44753</v>
      </c>
      <c r="BA65" s="135" t="b">
        <f t="shared" si="17"/>
        <v>1</v>
      </c>
      <c r="BB65" s="135">
        <f t="shared" si="18"/>
        <v>44753</v>
      </c>
      <c r="BC65" s="135" t="str">
        <f t="shared" si="19"/>
        <v>no</v>
      </c>
      <c r="BD65" s="135" t="b">
        <f t="shared" si="20"/>
        <v>0</v>
      </c>
      <c r="BE65" s="139" t="s">
        <v>59</v>
      </c>
      <c r="BF65" s="136"/>
    </row>
    <row r="66" spans="1:58" s="126" customFormat="1" ht="154">
      <c r="A66" s="136"/>
      <c r="B66" s="134" t="s">
        <v>208</v>
      </c>
      <c r="C66" s="134"/>
      <c r="D66" s="131">
        <v>10292111</v>
      </c>
      <c r="E66" s="134"/>
      <c r="F66" s="131" t="s">
        <v>46</v>
      </c>
      <c r="G66" s="133">
        <v>44767</v>
      </c>
      <c r="H66" s="133">
        <v>44767</v>
      </c>
      <c r="I66" s="132"/>
      <c r="J66" s="133">
        <v>44781</v>
      </c>
      <c r="K66" s="132"/>
      <c r="L66" s="132"/>
      <c r="M66" s="132"/>
      <c r="N66" s="132"/>
      <c r="O66" s="132"/>
      <c r="P66" s="132"/>
      <c r="Q66" s="134" t="s">
        <v>93</v>
      </c>
      <c r="R66" s="134" t="s">
        <v>50</v>
      </c>
      <c r="S66" s="134">
        <f t="shared" ref="S66" si="30">U66+V66</f>
        <v>104</v>
      </c>
      <c r="T66" s="134">
        <v>164</v>
      </c>
      <c r="U66" s="134">
        <v>0</v>
      </c>
      <c r="V66" s="134">
        <v>104</v>
      </c>
      <c r="W66" s="134"/>
      <c r="X66" s="134"/>
      <c r="Y66" s="134"/>
      <c r="Z66" s="134" t="s">
        <v>52</v>
      </c>
      <c r="AA66" s="134"/>
      <c r="AB66" s="134"/>
      <c r="AC66" s="134"/>
      <c r="AD66" s="134"/>
      <c r="AE66" s="134"/>
      <c r="AF66" s="134"/>
      <c r="AG66" s="134" t="s">
        <v>85</v>
      </c>
      <c r="AH66" s="134" t="s">
        <v>86</v>
      </c>
      <c r="AI66" s="134"/>
      <c r="AJ66" s="134"/>
      <c r="AK66" s="134"/>
      <c r="AL66" s="134" t="s">
        <v>57</v>
      </c>
      <c r="AM66" s="134"/>
      <c r="AN66" s="134"/>
      <c r="AO66" s="472"/>
      <c r="AP66" s="472"/>
      <c r="AQ66" s="472"/>
      <c r="AR66" s="135">
        <f>COUNTIF(B:B,B66)</f>
        <v>1</v>
      </c>
      <c r="AS66" s="135" t="str">
        <f t="shared" si="11"/>
        <v>2022_07_25_a</v>
      </c>
      <c r="AT66" s="136"/>
      <c r="AU66" s="135" t="str">
        <f t="shared" si="12"/>
        <v>2022</v>
      </c>
      <c r="AV66" s="135" t="str">
        <f t="shared" si="13"/>
        <v>07</v>
      </c>
      <c r="AW66" s="135" t="str">
        <f t="shared" si="14"/>
        <v>25</v>
      </c>
      <c r="AX66" s="135">
        <f t="shared" si="15"/>
        <v>44767</v>
      </c>
      <c r="AY66" s="137"/>
      <c r="AZ66" s="138">
        <f t="shared" si="16"/>
        <v>44767</v>
      </c>
      <c r="BA66" s="135" t="b">
        <f t="shared" si="17"/>
        <v>1</v>
      </c>
      <c r="BB66" s="135">
        <f t="shared" si="18"/>
        <v>44767</v>
      </c>
      <c r="BC66" s="135" t="str">
        <f t="shared" si="19"/>
        <v>no</v>
      </c>
      <c r="BD66" s="135" t="b">
        <f t="shared" si="20"/>
        <v>0</v>
      </c>
      <c r="BE66" s="139" t="s">
        <v>59</v>
      </c>
      <c r="BF66" s="136"/>
    </row>
    <row r="67" spans="1:58" s="126" customFormat="1" ht="154">
      <c r="A67" s="136"/>
      <c r="B67" s="134" t="s">
        <v>209</v>
      </c>
      <c r="C67" s="134"/>
      <c r="D67" s="131">
        <v>10296447</v>
      </c>
      <c r="E67" s="134"/>
      <c r="F67" s="131" t="s">
        <v>46</v>
      </c>
      <c r="G67" s="133">
        <v>44781</v>
      </c>
      <c r="H67" s="133">
        <v>44781</v>
      </c>
      <c r="I67" s="132"/>
      <c r="J67" s="133" t="s">
        <v>210</v>
      </c>
      <c r="K67" s="132"/>
      <c r="L67" s="132"/>
      <c r="M67" s="132"/>
      <c r="N67" s="132"/>
      <c r="O67" s="132"/>
      <c r="P67" s="132"/>
      <c r="Q67" s="134" t="s">
        <v>93</v>
      </c>
      <c r="R67" s="134" t="s">
        <v>50</v>
      </c>
      <c r="S67" s="134">
        <f t="shared" ref="S67:S69" si="31">U67+V67</f>
        <v>68</v>
      </c>
      <c r="T67" s="134">
        <v>215</v>
      </c>
      <c r="U67" s="134">
        <v>0</v>
      </c>
      <c r="V67" s="134">
        <v>68</v>
      </c>
      <c r="W67" s="134"/>
      <c r="X67" s="134"/>
      <c r="Y67" s="134"/>
      <c r="Z67" s="134" t="s">
        <v>52</v>
      </c>
      <c r="AA67" s="134"/>
      <c r="AB67" s="134"/>
      <c r="AC67" s="134"/>
      <c r="AD67" s="134"/>
      <c r="AE67" s="134"/>
      <c r="AF67" s="134"/>
      <c r="AG67" s="134" t="s">
        <v>85</v>
      </c>
      <c r="AH67" s="134" t="s">
        <v>86</v>
      </c>
      <c r="AI67" s="134"/>
      <c r="AJ67" s="134"/>
      <c r="AK67" s="134"/>
      <c r="AL67" s="134" t="s">
        <v>57</v>
      </c>
      <c r="AM67" s="134"/>
      <c r="AN67" s="134"/>
      <c r="AO67" s="472"/>
      <c r="AP67" s="472"/>
      <c r="AQ67" s="472"/>
      <c r="AR67" s="135">
        <f>COUNTIF(B:B,B67)</f>
        <v>1</v>
      </c>
      <c r="AS67" s="135" t="str">
        <f t="shared" si="11"/>
        <v>2022_08_08_a</v>
      </c>
      <c r="AT67" s="136"/>
      <c r="AU67" s="135" t="str">
        <f t="shared" si="12"/>
        <v>2022</v>
      </c>
      <c r="AV67" s="135" t="str">
        <f t="shared" si="13"/>
        <v>08</v>
      </c>
      <c r="AW67" s="135" t="str">
        <f t="shared" si="14"/>
        <v>08</v>
      </c>
      <c r="AX67" s="135">
        <f t="shared" si="15"/>
        <v>44781</v>
      </c>
      <c r="AY67" s="137"/>
      <c r="AZ67" s="138">
        <f t="shared" si="16"/>
        <v>44781</v>
      </c>
      <c r="BA67" s="135" t="b">
        <f t="shared" si="17"/>
        <v>1</v>
      </c>
      <c r="BB67" s="135">
        <f t="shared" si="18"/>
        <v>44781</v>
      </c>
      <c r="BC67" s="135" t="str">
        <f t="shared" si="19"/>
        <v>no</v>
      </c>
      <c r="BD67" s="135" t="b">
        <f t="shared" si="20"/>
        <v>0</v>
      </c>
      <c r="BE67" s="139" t="s">
        <v>59</v>
      </c>
      <c r="BF67" s="136"/>
    </row>
    <row r="68" spans="1:58" s="126" customFormat="1" ht="154">
      <c r="A68" s="136"/>
      <c r="B68" s="134" t="s">
        <v>211</v>
      </c>
      <c r="C68" s="134"/>
      <c r="D68" s="131">
        <v>10298318</v>
      </c>
      <c r="E68" s="134"/>
      <c r="F68" s="131" t="s">
        <v>46</v>
      </c>
      <c r="G68" s="133">
        <v>44795</v>
      </c>
      <c r="H68" s="133">
        <v>44795</v>
      </c>
      <c r="I68" s="132"/>
      <c r="J68" s="133" t="s">
        <v>210</v>
      </c>
      <c r="K68" s="132"/>
      <c r="L68" s="132"/>
      <c r="M68" s="132"/>
      <c r="N68" s="132"/>
      <c r="O68" s="132"/>
      <c r="P68" s="132"/>
      <c r="Q68" s="134" t="s">
        <v>93</v>
      </c>
      <c r="R68" s="134" t="s">
        <v>50</v>
      </c>
      <c r="S68" s="134">
        <f t="shared" ref="S68" si="32">U68+V68</f>
        <v>39</v>
      </c>
      <c r="T68" s="134">
        <v>215</v>
      </c>
      <c r="U68" s="134">
        <v>0</v>
      </c>
      <c r="V68" s="134">
        <v>39</v>
      </c>
      <c r="W68" s="134"/>
      <c r="X68" s="134"/>
      <c r="Y68" s="134"/>
      <c r="Z68" s="134" t="s">
        <v>52</v>
      </c>
      <c r="AA68" s="134"/>
      <c r="AB68" s="134"/>
      <c r="AC68" s="134"/>
      <c r="AD68" s="134"/>
      <c r="AE68" s="134"/>
      <c r="AF68" s="134"/>
      <c r="AG68" s="134" t="s">
        <v>85</v>
      </c>
      <c r="AH68" s="134" t="s">
        <v>86</v>
      </c>
      <c r="AI68" s="134"/>
      <c r="AJ68" s="134"/>
      <c r="AK68" s="134"/>
      <c r="AL68" s="134" t="s">
        <v>57</v>
      </c>
      <c r="AM68" s="134"/>
      <c r="AN68" s="134"/>
      <c r="AO68" s="472"/>
      <c r="AP68" s="472"/>
      <c r="AQ68" s="472"/>
      <c r="AR68" s="135">
        <f>COUNTIF(B:B,B68)</f>
        <v>1</v>
      </c>
      <c r="AS68" s="135" t="str">
        <f t="shared" ref="AS68:AS139" si="33">IFERROR(RIGHT(B68,16-SEARCH("_", B68)),0)</f>
        <v>2022_08_22_a</v>
      </c>
      <c r="AT68" s="136"/>
      <c r="AU68" s="135" t="str">
        <f t="shared" ref="AU68:AU139" si="34">LEFT(AS68,4)</f>
        <v>2022</v>
      </c>
      <c r="AV68" s="135" t="str">
        <f t="shared" ref="AV68:AV139" si="35">MID(AS68,6,2)</f>
        <v>08</v>
      </c>
      <c r="AW68" s="135" t="str">
        <f t="shared" ref="AW68:AW139" si="36">MID(AS68,9,2)</f>
        <v>22</v>
      </c>
      <c r="AX68" s="135">
        <f t="shared" ref="AX68:AX139" si="37">IFERROR(DATE(AU68,AV68,AW68)," ")</f>
        <v>44795</v>
      </c>
      <c r="AY68" s="137"/>
      <c r="AZ68" s="138">
        <f t="shared" ref="AZ68:AZ139" si="38">H68</f>
        <v>44795</v>
      </c>
      <c r="BA68" s="135" t="b">
        <f t="shared" ref="BA68:BA139" si="39">IF(AX68=" "," ",AX68=AZ68)</f>
        <v>1</v>
      </c>
      <c r="BB68" s="135">
        <f t="shared" ref="BB68:BB139" si="40">IF(BC68="YES"," ",AZ68)</f>
        <v>44795</v>
      </c>
      <c r="BC68" s="135" t="str">
        <f t="shared" ref="BC68:BC139" si="41">IF(AM68="Apprentice","yes","no")</f>
        <v>no</v>
      </c>
      <c r="BD68" s="135" t="b">
        <f t="shared" ref="BD68:BD139" si="42">IF(OR(U68&lt;&gt;"0", V68&lt;&gt;"0"),U68=V68," ")</f>
        <v>0</v>
      </c>
      <c r="BE68" s="139" t="s">
        <v>59</v>
      </c>
      <c r="BF68" s="136"/>
    </row>
    <row r="69" spans="1:58" s="126" customFormat="1" ht="154">
      <c r="A69" s="136"/>
      <c r="B69" s="134" t="s">
        <v>212</v>
      </c>
      <c r="C69" s="134"/>
      <c r="D69" s="131">
        <v>10301447</v>
      </c>
      <c r="E69" s="134"/>
      <c r="F69" s="131" t="s">
        <v>46</v>
      </c>
      <c r="G69" s="133">
        <v>44809</v>
      </c>
      <c r="H69" s="133">
        <v>44809</v>
      </c>
      <c r="I69" s="132"/>
      <c r="J69" s="133">
        <v>44823</v>
      </c>
      <c r="K69" s="132"/>
      <c r="L69" s="132"/>
      <c r="M69" s="132"/>
      <c r="N69" s="132"/>
      <c r="O69" s="132"/>
      <c r="P69" s="132"/>
      <c r="Q69" s="134" t="s">
        <v>93</v>
      </c>
      <c r="R69" s="134" t="s">
        <v>50</v>
      </c>
      <c r="S69" s="134">
        <f t="shared" si="31"/>
        <v>36</v>
      </c>
      <c r="T69" s="134">
        <v>186</v>
      </c>
      <c r="U69" s="134">
        <v>0</v>
      </c>
      <c r="V69" s="134">
        <v>36</v>
      </c>
      <c r="W69" s="134"/>
      <c r="X69" s="134"/>
      <c r="Y69" s="134"/>
      <c r="Z69" s="134" t="s">
        <v>52</v>
      </c>
      <c r="AA69" s="134"/>
      <c r="AB69" s="134"/>
      <c r="AC69" s="134"/>
      <c r="AD69" s="134"/>
      <c r="AE69" s="134"/>
      <c r="AF69" s="134"/>
      <c r="AG69" s="134" t="s">
        <v>85</v>
      </c>
      <c r="AH69" s="134" t="s">
        <v>86</v>
      </c>
      <c r="AI69" s="134"/>
      <c r="AJ69" s="134"/>
      <c r="AK69" s="134"/>
      <c r="AL69" s="134" t="s">
        <v>57</v>
      </c>
      <c r="AM69" s="134"/>
      <c r="AN69" s="134"/>
      <c r="AO69" s="472"/>
      <c r="AP69" s="472"/>
      <c r="AQ69" s="472"/>
      <c r="AR69" s="135">
        <f>COUNTIF(B:B,B69)</f>
        <v>1</v>
      </c>
      <c r="AS69" s="135" t="str">
        <f t="shared" si="33"/>
        <v>2022_09_05_a</v>
      </c>
      <c r="AT69" s="136"/>
      <c r="AU69" s="135" t="str">
        <f t="shared" si="34"/>
        <v>2022</v>
      </c>
      <c r="AV69" s="135" t="str">
        <f t="shared" si="35"/>
        <v>09</v>
      </c>
      <c r="AW69" s="135" t="str">
        <f t="shared" si="36"/>
        <v>05</v>
      </c>
      <c r="AX69" s="135">
        <f t="shared" si="37"/>
        <v>44809</v>
      </c>
      <c r="AY69" s="137"/>
      <c r="AZ69" s="138">
        <f t="shared" si="38"/>
        <v>44809</v>
      </c>
      <c r="BA69" s="135" t="b">
        <f t="shared" si="39"/>
        <v>1</v>
      </c>
      <c r="BB69" s="135">
        <f t="shared" si="40"/>
        <v>44809</v>
      </c>
      <c r="BC69" s="135" t="str">
        <f t="shared" si="41"/>
        <v>no</v>
      </c>
      <c r="BD69" s="135" t="b">
        <f t="shared" si="42"/>
        <v>0</v>
      </c>
      <c r="BE69" s="139" t="s">
        <v>59</v>
      </c>
      <c r="BF69" s="136"/>
    </row>
    <row r="70" spans="1:58" s="126" customFormat="1" ht="154">
      <c r="A70" s="136"/>
      <c r="B70" s="134" t="s">
        <v>213</v>
      </c>
      <c r="C70" s="134"/>
      <c r="D70" s="131">
        <v>10305571</v>
      </c>
      <c r="E70" s="134"/>
      <c r="F70" s="131" t="s">
        <v>46</v>
      </c>
      <c r="G70" s="133">
        <v>44823</v>
      </c>
      <c r="H70" s="133">
        <v>44823</v>
      </c>
      <c r="I70" s="132"/>
      <c r="J70" s="133">
        <v>44837</v>
      </c>
      <c r="K70" s="132"/>
      <c r="L70" s="132"/>
      <c r="M70" s="132"/>
      <c r="N70" s="132"/>
      <c r="O70" s="132"/>
      <c r="P70" s="132"/>
      <c r="Q70" s="134" t="s">
        <v>93</v>
      </c>
      <c r="R70" s="134" t="s">
        <v>50</v>
      </c>
      <c r="S70" s="134">
        <f t="shared" ref="S70" si="43">U70+V70</f>
        <v>115</v>
      </c>
      <c r="T70" s="134">
        <v>186</v>
      </c>
      <c r="U70" s="134">
        <v>0</v>
      </c>
      <c r="V70" s="134">
        <v>115</v>
      </c>
      <c r="W70" s="134"/>
      <c r="X70" s="134"/>
      <c r="Y70" s="134"/>
      <c r="Z70" s="134" t="s">
        <v>52</v>
      </c>
      <c r="AA70" s="134"/>
      <c r="AB70" s="134"/>
      <c r="AC70" s="134"/>
      <c r="AD70" s="134"/>
      <c r="AE70" s="134"/>
      <c r="AF70" s="134"/>
      <c r="AG70" s="134" t="s">
        <v>85</v>
      </c>
      <c r="AH70" s="134" t="s">
        <v>86</v>
      </c>
      <c r="AI70" s="134"/>
      <c r="AJ70" s="134"/>
      <c r="AK70" s="134"/>
      <c r="AL70" s="134" t="s">
        <v>57</v>
      </c>
      <c r="AM70" s="134"/>
      <c r="AN70" s="134"/>
      <c r="AO70" s="472"/>
      <c r="AP70" s="472"/>
      <c r="AQ70" s="472"/>
      <c r="AR70" s="135">
        <f>COUNTIF(B:B,B70)</f>
        <v>1</v>
      </c>
      <c r="AS70" s="135" t="str">
        <f t="shared" si="33"/>
        <v>2022_09_19_a</v>
      </c>
      <c r="AT70" s="136"/>
      <c r="AU70" s="135" t="str">
        <f t="shared" si="34"/>
        <v>2022</v>
      </c>
      <c r="AV70" s="135" t="str">
        <f t="shared" si="35"/>
        <v>09</v>
      </c>
      <c r="AW70" s="135" t="str">
        <f t="shared" si="36"/>
        <v>19</v>
      </c>
      <c r="AX70" s="135">
        <f t="shared" si="37"/>
        <v>44823</v>
      </c>
      <c r="AY70" s="137"/>
      <c r="AZ70" s="138">
        <f t="shared" si="38"/>
        <v>44823</v>
      </c>
      <c r="BA70" s="135" t="b">
        <f t="shared" si="39"/>
        <v>1</v>
      </c>
      <c r="BB70" s="135">
        <f t="shared" si="40"/>
        <v>44823</v>
      </c>
      <c r="BC70" s="135" t="str">
        <f t="shared" si="41"/>
        <v>no</v>
      </c>
      <c r="BD70" s="135" t="b">
        <f t="shared" si="42"/>
        <v>0</v>
      </c>
      <c r="BE70" s="139" t="s">
        <v>59</v>
      </c>
      <c r="BF70" s="136"/>
    </row>
    <row r="71" spans="1:58" s="126" customFormat="1" ht="154">
      <c r="A71" s="136"/>
      <c r="B71" s="134" t="s">
        <v>214</v>
      </c>
      <c r="C71" s="134"/>
      <c r="D71" s="131">
        <v>10311395</v>
      </c>
      <c r="E71" s="134"/>
      <c r="F71" s="131" t="s">
        <v>46</v>
      </c>
      <c r="G71" s="133">
        <v>44844</v>
      </c>
      <c r="H71" s="133">
        <v>44844</v>
      </c>
      <c r="I71" s="132"/>
      <c r="J71" s="133">
        <v>44858</v>
      </c>
      <c r="K71" s="132"/>
      <c r="L71" s="132"/>
      <c r="M71" s="132"/>
      <c r="N71" s="132"/>
      <c r="O71" s="132"/>
      <c r="P71" s="132"/>
      <c r="Q71" s="134" t="s">
        <v>106</v>
      </c>
      <c r="R71" s="134" t="s">
        <v>50</v>
      </c>
      <c r="S71" s="134">
        <f t="shared" ref="S71" si="44">U71+V71</f>
        <v>71</v>
      </c>
      <c r="T71" s="134">
        <v>186</v>
      </c>
      <c r="U71" s="134">
        <v>0</v>
      </c>
      <c r="V71" s="134">
        <v>71</v>
      </c>
      <c r="W71" s="134"/>
      <c r="X71" s="134"/>
      <c r="Y71" s="134"/>
      <c r="Z71" s="134" t="s">
        <v>52</v>
      </c>
      <c r="AA71" s="134"/>
      <c r="AB71" s="134"/>
      <c r="AC71" s="134"/>
      <c r="AD71" s="134"/>
      <c r="AE71" s="134"/>
      <c r="AF71" s="134"/>
      <c r="AG71" s="134" t="s">
        <v>85</v>
      </c>
      <c r="AH71" s="134" t="s">
        <v>86</v>
      </c>
      <c r="AI71" s="134"/>
      <c r="AJ71" s="134"/>
      <c r="AK71" s="134"/>
      <c r="AL71" s="134" t="s">
        <v>57</v>
      </c>
      <c r="AM71" s="134"/>
      <c r="AN71" s="134"/>
      <c r="AO71" s="472"/>
      <c r="AP71" s="472"/>
      <c r="AQ71" s="472"/>
      <c r="AR71" s="135">
        <f>COUNTIF(B:B,B71)</f>
        <v>1</v>
      </c>
      <c r="AS71" s="135" t="str">
        <f t="shared" si="33"/>
        <v>2022_10_10_a</v>
      </c>
      <c r="AT71" s="136"/>
      <c r="AU71" s="135" t="str">
        <f t="shared" si="34"/>
        <v>2022</v>
      </c>
      <c r="AV71" s="135" t="str">
        <f t="shared" si="35"/>
        <v>10</v>
      </c>
      <c r="AW71" s="135" t="str">
        <f t="shared" si="36"/>
        <v>10</v>
      </c>
      <c r="AX71" s="135">
        <f t="shared" si="37"/>
        <v>44844</v>
      </c>
      <c r="AY71" s="137"/>
      <c r="AZ71" s="138">
        <f t="shared" si="38"/>
        <v>44844</v>
      </c>
      <c r="BA71" s="135" t="b">
        <f t="shared" si="39"/>
        <v>1</v>
      </c>
      <c r="BB71" s="135">
        <f t="shared" si="40"/>
        <v>44844</v>
      </c>
      <c r="BC71" s="135" t="str">
        <f t="shared" si="41"/>
        <v>no</v>
      </c>
      <c r="BD71" s="135" t="b">
        <f t="shared" si="42"/>
        <v>0</v>
      </c>
      <c r="BE71" s="139" t="s">
        <v>59</v>
      </c>
      <c r="BF71" s="136"/>
    </row>
    <row r="72" spans="1:58" s="126" customFormat="1" ht="154">
      <c r="A72" s="136"/>
      <c r="B72" s="134" t="s">
        <v>215</v>
      </c>
      <c r="C72" s="134"/>
      <c r="D72" s="131">
        <v>10317542</v>
      </c>
      <c r="E72" s="134"/>
      <c r="F72" s="131" t="s">
        <v>46</v>
      </c>
      <c r="G72" s="133">
        <v>44872</v>
      </c>
      <c r="H72" s="133">
        <v>44872</v>
      </c>
      <c r="I72" s="132"/>
      <c r="J72" s="133">
        <v>44886</v>
      </c>
      <c r="K72" s="132"/>
      <c r="L72" s="132"/>
      <c r="M72" s="132"/>
      <c r="N72" s="132"/>
      <c r="O72" s="132"/>
      <c r="P72" s="132"/>
      <c r="Q72" s="134" t="s">
        <v>106</v>
      </c>
      <c r="R72" s="134" t="s">
        <v>50</v>
      </c>
      <c r="S72" s="134">
        <f t="shared" ref="S72" si="45">U72+V72</f>
        <v>105</v>
      </c>
      <c r="T72" s="134">
        <v>186</v>
      </c>
      <c r="U72" s="134">
        <v>0</v>
      </c>
      <c r="V72" s="134">
        <v>105</v>
      </c>
      <c r="W72" s="134"/>
      <c r="X72" s="134"/>
      <c r="Y72" s="134"/>
      <c r="Z72" s="134" t="s">
        <v>52</v>
      </c>
      <c r="AA72" s="134"/>
      <c r="AB72" s="134"/>
      <c r="AC72" s="134"/>
      <c r="AD72" s="134"/>
      <c r="AE72" s="134"/>
      <c r="AF72" s="134"/>
      <c r="AG72" s="134" t="s">
        <v>85</v>
      </c>
      <c r="AH72" s="134" t="s">
        <v>86</v>
      </c>
      <c r="AI72" s="134"/>
      <c r="AJ72" s="134"/>
      <c r="AK72" s="134"/>
      <c r="AL72" s="134" t="s">
        <v>57</v>
      </c>
      <c r="AM72" s="134"/>
      <c r="AN72" s="134"/>
      <c r="AO72" s="472"/>
      <c r="AP72" s="472"/>
      <c r="AQ72" s="472"/>
      <c r="AR72" s="135">
        <f>COUNTIF(B:B,B72)</f>
        <v>1</v>
      </c>
      <c r="AS72" s="135" t="str">
        <f t="shared" si="33"/>
        <v>2022_11_07_a</v>
      </c>
      <c r="AT72" s="136"/>
      <c r="AU72" s="135" t="str">
        <f t="shared" si="34"/>
        <v>2022</v>
      </c>
      <c r="AV72" s="135" t="str">
        <f t="shared" si="35"/>
        <v>11</v>
      </c>
      <c r="AW72" s="135" t="str">
        <f t="shared" si="36"/>
        <v>07</v>
      </c>
      <c r="AX72" s="135">
        <f t="shared" si="37"/>
        <v>44872</v>
      </c>
      <c r="AY72" s="137"/>
      <c r="AZ72" s="138">
        <f t="shared" si="38"/>
        <v>44872</v>
      </c>
      <c r="BA72" s="135" t="b">
        <f t="shared" si="39"/>
        <v>1</v>
      </c>
      <c r="BB72" s="135">
        <f t="shared" si="40"/>
        <v>44872</v>
      </c>
      <c r="BC72" s="135" t="str">
        <f t="shared" si="41"/>
        <v>no</v>
      </c>
      <c r="BD72" s="135" t="b">
        <f t="shared" si="42"/>
        <v>0</v>
      </c>
      <c r="BE72" s="139" t="s">
        <v>59</v>
      </c>
      <c r="BF72" s="136"/>
    </row>
    <row r="73" spans="1:58" s="126" customFormat="1" ht="154">
      <c r="A73" s="136"/>
      <c r="B73" s="134" t="s">
        <v>216</v>
      </c>
      <c r="C73" s="134"/>
      <c r="D73" s="131">
        <v>10319316</v>
      </c>
      <c r="E73" s="134"/>
      <c r="F73" s="131" t="s">
        <v>46</v>
      </c>
      <c r="G73" s="133">
        <v>44886</v>
      </c>
      <c r="H73" s="133">
        <v>44886</v>
      </c>
      <c r="I73" s="132"/>
      <c r="J73" s="133">
        <v>44900</v>
      </c>
      <c r="K73" s="132"/>
      <c r="L73" s="132"/>
      <c r="M73" s="132"/>
      <c r="N73" s="132"/>
      <c r="O73" s="132"/>
      <c r="P73" s="132"/>
      <c r="Q73" s="134" t="s">
        <v>106</v>
      </c>
      <c r="R73" s="134" t="s">
        <v>50</v>
      </c>
      <c r="S73" s="134">
        <f t="shared" ref="S73" si="46">U73+V73</f>
        <v>70</v>
      </c>
      <c r="T73" s="134">
        <v>186</v>
      </c>
      <c r="U73" s="134">
        <v>0</v>
      </c>
      <c r="V73" s="134">
        <v>70</v>
      </c>
      <c r="W73" s="134"/>
      <c r="X73" s="134"/>
      <c r="Y73" s="134"/>
      <c r="Z73" s="134" t="s">
        <v>52</v>
      </c>
      <c r="AA73" s="134"/>
      <c r="AB73" s="134"/>
      <c r="AC73" s="134"/>
      <c r="AD73" s="134"/>
      <c r="AE73" s="134"/>
      <c r="AF73" s="134"/>
      <c r="AG73" s="134" t="s">
        <v>85</v>
      </c>
      <c r="AH73" s="134" t="s">
        <v>86</v>
      </c>
      <c r="AI73" s="134"/>
      <c r="AJ73" s="134"/>
      <c r="AK73" s="134"/>
      <c r="AL73" s="134" t="s">
        <v>57</v>
      </c>
      <c r="AM73" s="134"/>
      <c r="AN73" s="134"/>
      <c r="AO73" s="472"/>
      <c r="AP73" s="472"/>
      <c r="AQ73" s="472"/>
      <c r="AR73" s="135">
        <f>COUNTIF(B:B,B73)</f>
        <v>1</v>
      </c>
      <c r="AS73" s="135" t="str">
        <f t="shared" ref="AS73" si="47">IFERROR(RIGHT(B73,16-SEARCH("_", B73)),0)</f>
        <v>2022_11_21_a</v>
      </c>
      <c r="AT73" s="136"/>
      <c r="AU73" s="135" t="str">
        <f t="shared" ref="AU73" si="48">LEFT(AS73,4)</f>
        <v>2022</v>
      </c>
      <c r="AV73" s="135" t="str">
        <f t="shared" ref="AV73" si="49">MID(AS73,6,2)</f>
        <v>11</v>
      </c>
      <c r="AW73" s="135" t="str">
        <f t="shared" ref="AW73" si="50">MID(AS73,9,2)</f>
        <v>21</v>
      </c>
      <c r="AX73" s="135">
        <f t="shared" ref="AX73" si="51">IFERROR(DATE(AU73,AV73,AW73)," ")</f>
        <v>44886</v>
      </c>
      <c r="AY73" s="137"/>
      <c r="AZ73" s="138">
        <f t="shared" ref="AZ73" si="52">H73</f>
        <v>44886</v>
      </c>
      <c r="BA73" s="135" t="b">
        <f t="shared" ref="BA73" si="53">IF(AX73=" "," ",AX73=AZ73)</f>
        <v>1</v>
      </c>
      <c r="BB73" s="135">
        <f t="shared" ref="BB73" si="54">IF(BC73="YES"," ",AZ73)</f>
        <v>44886</v>
      </c>
      <c r="BC73" s="135" t="str">
        <f t="shared" ref="BC73" si="55">IF(AM73="Apprentice","yes","no")</f>
        <v>no</v>
      </c>
      <c r="BD73" s="135" t="b">
        <f t="shared" ref="BD73" si="56">IF(OR(U73&lt;&gt;"0", V73&lt;&gt;"0"),U73=V73," ")</f>
        <v>0</v>
      </c>
      <c r="BE73" s="139" t="s">
        <v>59</v>
      </c>
      <c r="BF73" s="136"/>
    </row>
    <row r="74" spans="1:58" s="126" customFormat="1" ht="154">
      <c r="A74" s="136"/>
      <c r="B74" s="134" t="s">
        <v>217</v>
      </c>
      <c r="C74" s="134"/>
      <c r="D74" s="131">
        <v>10324197</v>
      </c>
      <c r="E74" s="134"/>
      <c r="F74" s="131" t="s">
        <v>46</v>
      </c>
      <c r="G74" s="133" t="s">
        <v>218</v>
      </c>
      <c r="H74" s="133">
        <v>44907</v>
      </c>
      <c r="I74" s="132"/>
      <c r="J74" s="133">
        <v>44921</v>
      </c>
      <c r="K74" s="132"/>
      <c r="L74" s="132"/>
      <c r="M74" s="132"/>
      <c r="N74" s="132"/>
      <c r="O74" s="132"/>
      <c r="P74" s="132"/>
      <c r="Q74" s="134" t="s">
        <v>106</v>
      </c>
      <c r="R74" s="134" t="s">
        <v>50</v>
      </c>
      <c r="S74" s="134">
        <f t="shared" ref="S74" si="57">U74+V74</f>
        <v>28</v>
      </c>
      <c r="T74" s="134">
        <v>186</v>
      </c>
      <c r="U74" s="134">
        <v>0</v>
      </c>
      <c r="V74" s="134">
        <v>28</v>
      </c>
      <c r="W74" s="134"/>
      <c r="X74" s="134"/>
      <c r="Y74" s="134"/>
      <c r="Z74" s="134" t="s">
        <v>52</v>
      </c>
      <c r="AA74" s="134"/>
      <c r="AB74" s="134"/>
      <c r="AC74" s="134"/>
      <c r="AD74" s="134"/>
      <c r="AE74" s="134"/>
      <c r="AF74" s="134"/>
      <c r="AG74" s="134" t="s">
        <v>85</v>
      </c>
      <c r="AH74" s="134" t="s">
        <v>86</v>
      </c>
      <c r="AI74" s="134"/>
      <c r="AJ74" s="134"/>
      <c r="AK74" s="134"/>
      <c r="AL74" s="134" t="s">
        <v>57</v>
      </c>
      <c r="AM74" s="134"/>
      <c r="AN74" s="134"/>
      <c r="AO74" s="472"/>
      <c r="AP74" s="472"/>
      <c r="AQ74" s="472"/>
      <c r="AR74" s="135">
        <f>COUNTIF(B:B,B74)</f>
        <v>1</v>
      </c>
      <c r="AS74" s="135" t="str">
        <f t="shared" ref="AS74" si="58">IFERROR(RIGHT(B74,16-SEARCH("_", B74)),0)</f>
        <v>2022_12_12_a</v>
      </c>
      <c r="AT74" s="136"/>
      <c r="AU74" s="135" t="str">
        <f t="shared" ref="AU74" si="59">LEFT(AS74,4)</f>
        <v>2022</v>
      </c>
      <c r="AV74" s="135" t="str">
        <f t="shared" ref="AV74" si="60">MID(AS74,6,2)</f>
        <v>12</v>
      </c>
      <c r="AW74" s="135" t="str">
        <f t="shared" ref="AW74" si="61">MID(AS74,9,2)</f>
        <v>12</v>
      </c>
      <c r="AX74" s="135">
        <f t="shared" ref="AX74" si="62">IFERROR(DATE(AU74,AV74,AW74)," ")</f>
        <v>44907</v>
      </c>
      <c r="AY74" s="137"/>
      <c r="AZ74" s="138">
        <f t="shared" ref="AZ74" si="63">H74</f>
        <v>44907</v>
      </c>
      <c r="BA74" s="135" t="b">
        <f t="shared" ref="BA74" si="64">IF(AX74=" "," ",AX74=AZ74)</f>
        <v>1</v>
      </c>
      <c r="BB74" s="135">
        <f t="shared" ref="BB74" si="65">IF(BC74="YES"," ",AZ74)</f>
        <v>44907</v>
      </c>
      <c r="BC74" s="135" t="str">
        <f t="shared" ref="BC74" si="66">IF(AM74="Apprentice","yes","no")</f>
        <v>no</v>
      </c>
      <c r="BD74" s="135" t="b">
        <f t="shared" ref="BD74" si="67">IF(OR(U74&lt;&gt;"0", V74&lt;&gt;"0"),U74=V74," ")</f>
        <v>0</v>
      </c>
      <c r="BE74" s="139" t="s">
        <v>59</v>
      </c>
      <c r="BF74" s="136"/>
    </row>
    <row r="75" spans="1:58" s="126" customFormat="1" ht="154">
      <c r="A75" s="136"/>
      <c r="B75" s="134" t="s">
        <v>219</v>
      </c>
      <c r="C75" s="134"/>
      <c r="D75" s="131" t="s">
        <v>220</v>
      </c>
      <c r="E75" s="134"/>
      <c r="F75" s="131" t="s">
        <v>46</v>
      </c>
      <c r="G75" s="133">
        <v>44942</v>
      </c>
      <c r="H75" s="133">
        <v>44942</v>
      </c>
      <c r="I75" s="132"/>
      <c r="J75" s="133">
        <v>44949</v>
      </c>
      <c r="K75" s="132"/>
      <c r="L75" s="132"/>
      <c r="M75" s="132"/>
      <c r="N75" s="132"/>
      <c r="O75" s="132"/>
      <c r="P75" s="132"/>
      <c r="Q75" s="134" t="s">
        <v>49</v>
      </c>
      <c r="R75" s="134" t="s">
        <v>50</v>
      </c>
      <c r="S75" s="134">
        <f t="shared" ref="S75" si="68">U75+V75</f>
        <v>31</v>
      </c>
      <c r="T75" s="134"/>
      <c r="U75" s="134">
        <v>0</v>
      </c>
      <c r="V75" s="134">
        <v>31</v>
      </c>
      <c r="W75" s="134"/>
      <c r="X75" s="134"/>
      <c r="Y75" s="134"/>
      <c r="Z75" s="134" t="s">
        <v>52</v>
      </c>
      <c r="AA75" s="134"/>
      <c r="AB75" s="134"/>
      <c r="AC75" s="134"/>
      <c r="AD75" s="134"/>
      <c r="AE75" s="134"/>
      <c r="AF75" s="134"/>
      <c r="AG75" s="134" t="s">
        <v>85</v>
      </c>
      <c r="AH75" s="134" t="s">
        <v>56</v>
      </c>
      <c r="AI75" s="134"/>
      <c r="AJ75" s="134"/>
      <c r="AK75" s="134"/>
      <c r="AL75" s="134" t="s">
        <v>57</v>
      </c>
      <c r="AM75" s="134"/>
      <c r="AN75" s="134"/>
      <c r="AO75" s="472"/>
      <c r="AP75" s="472"/>
      <c r="AQ75" s="472"/>
      <c r="AR75" s="135">
        <f>COUNTIF(B:B,B75)</f>
        <v>1</v>
      </c>
      <c r="AS75" s="135" t="str">
        <f t="shared" ref="AS75" si="69">IFERROR(RIGHT(B75,16-SEARCH("_", B75)),0)</f>
        <v>2023_01_16_a</v>
      </c>
      <c r="AT75" s="136"/>
      <c r="AU75" s="135" t="str">
        <f t="shared" ref="AU75" si="70">LEFT(AS75,4)</f>
        <v>2023</v>
      </c>
      <c r="AV75" s="135" t="str">
        <f t="shared" ref="AV75" si="71">MID(AS75,6,2)</f>
        <v>01</v>
      </c>
      <c r="AW75" s="135" t="str">
        <f t="shared" ref="AW75" si="72">MID(AS75,9,2)</f>
        <v>16</v>
      </c>
      <c r="AX75" s="135">
        <f t="shared" ref="AX75" si="73">IFERROR(DATE(AU75,AV75,AW75)," ")</f>
        <v>44942</v>
      </c>
      <c r="AY75" s="137"/>
      <c r="AZ75" s="138">
        <f t="shared" ref="AZ75" si="74">H75</f>
        <v>44942</v>
      </c>
      <c r="BA75" s="135" t="b">
        <f t="shared" ref="BA75" si="75">IF(AX75=" "," ",AX75=AZ75)</f>
        <v>1</v>
      </c>
      <c r="BB75" s="135">
        <f t="shared" ref="BB75" si="76">IF(BC75="YES"," ",AZ75)</f>
        <v>44942</v>
      </c>
      <c r="BC75" s="135" t="str">
        <f t="shared" ref="BC75" si="77">IF(AM75="Apprentice","yes","no")</f>
        <v>no</v>
      </c>
      <c r="BD75" s="135" t="b">
        <f t="shared" ref="BD75" si="78">IF(OR(U75&lt;&gt;"0", V75&lt;&gt;"0"),U75=V75," ")</f>
        <v>0</v>
      </c>
      <c r="BE75" s="139" t="s">
        <v>59</v>
      </c>
      <c r="BF75" s="136"/>
    </row>
    <row r="76" spans="1:58" s="126" customFormat="1" ht="154">
      <c r="A76" s="136"/>
      <c r="B76" s="134" t="s">
        <v>221</v>
      </c>
      <c r="C76" s="134"/>
      <c r="D76" s="131"/>
      <c r="E76" s="134"/>
      <c r="F76" s="131" t="s">
        <v>46</v>
      </c>
      <c r="G76" s="133">
        <v>44949</v>
      </c>
      <c r="H76" s="133">
        <v>44949</v>
      </c>
      <c r="I76" s="132"/>
      <c r="J76" s="133">
        <v>44964</v>
      </c>
      <c r="K76" s="132"/>
      <c r="L76" s="132"/>
      <c r="M76" s="132"/>
      <c r="N76" s="132"/>
      <c r="O76" s="132"/>
      <c r="P76" s="132"/>
      <c r="Q76" s="134" t="s">
        <v>49</v>
      </c>
      <c r="R76" s="134" t="s">
        <v>50</v>
      </c>
      <c r="S76" s="134">
        <f t="shared" ref="S76" si="79">U76+V76</f>
        <v>22</v>
      </c>
      <c r="T76" s="134"/>
      <c r="U76" s="134">
        <v>0</v>
      </c>
      <c r="V76" s="134">
        <v>22</v>
      </c>
      <c r="W76" s="134"/>
      <c r="X76" s="134"/>
      <c r="Y76" s="134"/>
      <c r="Z76" s="134" t="s">
        <v>52</v>
      </c>
      <c r="AA76" s="134"/>
      <c r="AB76" s="134"/>
      <c r="AC76" s="134"/>
      <c r="AD76" s="134"/>
      <c r="AE76" s="134"/>
      <c r="AF76" s="134"/>
      <c r="AG76" s="134" t="s">
        <v>85</v>
      </c>
      <c r="AH76" s="134" t="s">
        <v>86</v>
      </c>
      <c r="AI76" s="134"/>
      <c r="AJ76" s="134"/>
      <c r="AK76" s="134"/>
      <c r="AL76" s="134" t="s">
        <v>57</v>
      </c>
      <c r="AM76" s="134"/>
      <c r="AN76" s="134"/>
      <c r="AO76" s="472"/>
      <c r="AP76" s="472"/>
      <c r="AQ76" s="472"/>
      <c r="AR76" s="135">
        <f>COUNTIF(B:B,B76)</f>
        <v>1</v>
      </c>
      <c r="AS76" s="135" t="str">
        <f t="shared" ref="AS76" si="80">IFERROR(RIGHT(B76,16-SEARCH("_", B76)),0)</f>
        <v>2023_01_23_a</v>
      </c>
      <c r="AT76" s="136"/>
      <c r="AU76" s="135" t="str">
        <f t="shared" ref="AU76" si="81">LEFT(AS76,4)</f>
        <v>2023</v>
      </c>
      <c r="AV76" s="135" t="str">
        <f t="shared" ref="AV76" si="82">MID(AS76,6,2)</f>
        <v>01</v>
      </c>
      <c r="AW76" s="135" t="str">
        <f t="shared" ref="AW76" si="83">MID(AS76,9,2)</f>
        <v>23</v>
      </c>
      <c r="AX76" s="135">
        <f t="shared" ref="AX76" si="84">IFERROR(DATE(AU76,AV76,AW76)," ")</f>
        <v>44949</v>
      </c>
      <c r="AY76" s="137"/>
      <c r="AZ76" s="138">
        <f t="shared" ref="AZ76" si="85">H76</f>
        <v>44949</v>
      </c>
      <c r="BA76" s="135" t="b">
        <f t="shared" ref="BA76" si="86">IF(AX76=" "," ",AX76=AZ76)</f>
        <v>1</v>
      </c>
      <c r="BB76" s="135">
        <f t="shared" ref="BB76" si="87">IF(BC76="YES"," ",AZ76)</f>
        <v>44949</v>
      </c>
      <c r="BC76" s="135" t="str">
        <f t="shared" ref="BC76" si="88">IF(AM76="Apprentice","yes","no")</f>
        <v>no</v>
      </c>
      <c r="BD76" s="135" t="b">
        <f t="shared" ref="BD76" si="89">IF(OR(U76&lt;&gt;"0", V76&lt;&gt;"0"),U76=V76," ")</f>
        <v>0</v>
      </c>
      <c r="BE76" s="139" t="s">
        <v>59</v>
      </c>
      <c r="BF76" s="136"/>
    </row>
    <row r="77" spans="1:58" s="428" customFormat="1" ht="154">
      <c r="A77" s="136"/>
      <c r="B77" s="134" t="s">
        <v>222</v>
      </c>
      <c r="C77" s="134"/>
      <c r="D77" s="131"/>
      <c r="E77" s="134"/>
      <c r="F77" s="131" t="s">
        <v>46</v>
      </c>
      <c r="G77" s="133">
        <v>44963</v>
      </c>
      <c r="H77" s="133">
        <v>44963</v>
      </c>
      <c r="I77" s="132"/>
      <c r="J77" s="133">
        <v>44977</v>
      </c>
      <c r="K77" s="132"/>
      <c r="L77" s="132"/>
      <c r="M77" s="132"/>
      <c r="N77" s="132"/>
      <c r="O77" s="132"/>
      <c r="P77" s="132"/>
      <c r="Q77" s="134" t="s">
        <v>49</v>
      </c>
      <c r="R77" s="134" t="s">
        <v>50</v>
      </c>
      <c r="S77" s="134">
        <f t="shared" ref="S77" si="90">U77+V77</f>
        <v>133</v>
      </c>
      <c r="T77" s="134"/>
      <c r="U77" s="134">
        <v>0</v>
      </c>
      <c r="V77" s="134">
        <v>133</v>
      </c>
      <c r="W77" s="134"/>
      <c r="X77" s="134"/>
      <c r="Y77" s="134"/>
      <c r="Z77" s="134" t="s">
        <v>52</v>
      </c>
      <c r="AA77" s="134"/>
      <c r="AB77" s="134"/>
      <c r="AC77" s="134"/>
      <c r="AD77" s="134"/>
      <c r="AE77" s="134"/>
      <c r="AF77" s="134"/>
      <c r="AG77" s="134" t="s">
        <v>85</v>
      </c>
      <c r="AH77" s="134" t="s">
        <v>86</v>
      </c>
      <c r="AI77" s="134"/>
      <c r="AJ77" s="134"/>
      <c r="AK77" s="134"/>
      <c r="AL77" s="134" t="s">
        <v>57</v>
      </c>
      <c r="AM77" s="134"/>
      <c r="AN77" s="134"/>
      <c r="AO77" s="472"/>
      <c r="AP77" s="472"/>
      <c r="AQ77" s="472"/>
      <c r="AR77" s="135">
        <f>COUNTIF(B:B,B77)</f>
        <v>1</v>
      </c>
      <c r="AS77" s="135" t="str">
        <f t="shared" ref="AS77" si="91">IFERROR(RIGHT(B77,16-SEARCH("_", B77)),0)</f>
        <v>2023_02_06_a</v>
      </c>
      <c r="AT77" s="136"/>
      <c r="AU77" s="135" t="str">
        <f t="shared" ref="AU77" si="92">LEFT(AS77,4)</f>
        <v>2023</v>
      </c>
      <c r="AV77" s="135" t="str">
        <f t="shared" ref="AV77" si="93">MID(AS77,6,2)</f>
        <v>02</v>
      </c>
      <c r="AW77" s="135" t="str">
        <f t="shared" ref="AW77" si="94">MID(AS77,9,2)</f>
        <v>06</v>
      </c>
      <c r="AX77" s="135">
        <f t="shared" ref="AX77" si="95">IFERROR(DATE(AU77,AV77,AW77)," ")</f>
        <v>44963</v>
      </c>
      <c r="AY77" s="137"/>
      <c r="AZ77" s="138">
        <f t="shared" ref="AZ77" si="96">H77</f>
        <v>44963</v>
      </c>
      <c r="BA77" s="135" t="b">
        <f t="shared" ref="BA77" si="97">IF(AX77=" "," ",AX77=AZ77)</f>
        <v>1</v>
      </c>
      <c r="BB77" s="135">
        <f t="shared" ref="BB77" si="98">IF(BC77="YES"," ",AZ77)</f>
        <v>44963</v>
      </c>
      <c r="BC77" s="135" t="str">
        <f t="shared" ref="BC77" si="99">IF(AM77="Apprentice","yes","no")</f>
        <v>no</v>
      </c>
      <c r="BD77" s="135" t="b">
        <f t="shared" ref="BD77" si="100">IF(OR(U77&lt;&gt;"0", V77&lt;&gt;"0"),U77=V77," ")</f>
        <v>0</v>
      </c>
      <c r="BE77" s="139" t="s">
        <v>59</v>
      </c>
      <c r="BF77" s="136"/>
    </row>
    <row r="78" spans="1:58" s="126" customFormat="1" ht="154">
      <c r="A78" s="472"/>
      <c r="B78" s="472"/>
      <c r="C78" s="472"/>
      <c r="D78" s="472"/>
      <c r="E78" s="472"/>
      <c r="F78" s="492" t="s">
        <v>223</v>
      </c>
      <c r="G78" s="492"/>
      <c r="H78" s="492"/>
      <c r="I78" s="492"/>
      <c r="J78" s="492"/>
      <c r="K78" s="492"/>
      <c r="L78" s="492"/>
      <c r="M78" s="492"/>
      <c r="N78" s="492"/>
      <c r="O78" s="492"/>
      <c r="P78" s="492"/>
      <c r="Q78" s="492"/>
      <c r="R78" s="492"/>
      <c r="S78" s="472">
        <f>SUMIFS(S3:S21, AA3:AA21, "=Planned")</f>
        <v>0</v>
      </c>
      <c r="T78" s="472"/>
      <c r="U78" s="472">
        <f>SUMIFS(U3:U22, AA3:AA22, "=Planned")</f>
        <v>0</v>
      </c>
      <c r="V78" s="472">
        <f>SUMIFS(V3:V21, Z3:Z21, "=Planned")</f>
        <v>0</v>
      </c>
      <c r="W78" s="472"/>
      <c r="X78" s="472"/>
      <c r="Y78" s="472"/>
      <c r="Z78" s="472"/>
      <c r="AA78" s="472">
        <f>COUNTIFS(AA3:AA22, "=Planned")</f>
        <v>0</v>
      </c>
      <c r="AB78" s="472"/>
      <c r="AC78" s="472"/>
      <c r="AD78" s="472"/>
      <c r="AE78" s="472"/>
      <c r="AF78" s="472"/>
      <c r="AG78" s="472">
        <f>COUNTIFS(AG3:AG22, "=New")</f>
        <v>0</v>
      </c>
      <c r="AH78" s="472">
        <f>COUNTIFS(AH3:AH22, "=F2F")</f>
        <v>8</v>
      </c>
      <c r="AI78" s="472"/>
      <c r="AJ78" s="472"/>
      <c r="AK78" s="472"/>
      <c r="AL78" s="472"/>
      <c r="AM78" s="472"/>
      <c r="AN78" s="472"/>
      <c r="AO78" s="472"/>
      <c r="AP78" s="472"/>
      <c r="AQ78" s="472"/>
      <c r="AR78" s="135">
        <f>COUNTIF(B:B,B78)</f>
        <v>0</v>
      </c>
      <c r="AS78" s="135">
        <f t="shared" si="33"/>
        <v>0</v>
      </c>
      <c r="AT78" s="136"/>
      <c r="AU78" s="135" t="str">
        <f t="shared" si="34"/>
        <v>0</v>
      </c>
      <c r="AV78" s="135" t="str">
        <f t="shared" si="35"/>
        <v/>
      </c>
      <c r="AW78" s="135" t="str">
        <f t="shared" si="36"/>
        <v/>
      </c>
      <c r="AX78" s="135" t="str">
        <f t="shared" si="37"/>
        <v xml:space="preserve"> </v>
      </c>
      <c r="AY78" s="137"/>
      <c r="AZ78" s="138">
        <f t="shared" si="38"/>
        <v>0</v>
      </c>
      <c r="BA78" s="135" t="str">
        <f t="shared" si="39"/>
        <v xml:space="preserve"> </v>
      </c>
      <c r="BB78" s="135">
        <f t="shared" si="40"/>
        <v>0</v>
      </c>
      <c r="BC78" s="135" t="str">
        <f t="shared" si="41"/>
        <v>no</v>
      </c>
      <c r="BD78" s="135" t="b">
        <f t="shared" si="42"/>
        <v>1</v>
      </c>
      <c r="BE78" s="139" t="s">
        <v>59</v>
      </c>
      <c r="BF78" s="136"/>
    </row>
    <row r="79" spans="1:58" s="126" customFormat="1" ht="154">
      <c r="A79" s="472"/>
      <c r="B79" s="472"/>
      <c r="C79" s="472"/>
      <c r="D79" s="472"/>
      <c r="E79" s="472"/>
      <c r="F79" s="492" t="s">
        <v>224</v>
      </c>
      <c r="G79" s="492"/>
      <c r="H79" s="492"/>
      <c r="I79" s="492"/>
      <c r="J79" s="492"/>
      <c r="K79" s="492"/>
      <c r="L79" s="492"/>
      <c r="M79" s="492"/>
      <c r="N79" s="492"/>
      <c r="O79" s="492"/>
      <c r="P79" s="492"/>
      <c r="Q79" s="492"/>
      <c r="R79" s="492"/>
      <c r="S79" s="472">
        <f>SUMIFS(S3:S21, AA3:AA21, "=Tentative")</f>
        <v>0</v>
      </c>
      <c r="T79" s="472"/>
      <c r="U79" s="472">
        <f>SUMIFS(U3:U22, AA3:AA22, "=Tentative")</f>
        <v>0</v>
      </c>
      <c r="V79" s="472">
        <f>SUMIFS(V3:V21, Z3:Z21, "=Tentative")</f>
        <v>0</v>
      </c>
      <c r="W79" s="472"/>
      <c r="X79" s="472"/>
      <c r="Y79" s="472"/>
      <c r="Z79" s="472"/>
      <c r="AA79" s="472">
        <f>COUNTIFS(AA3:AA22, "=Tentative")</f>
        <v>0</v>
      </c>
      <c r="AB79" s="472"/>
      <c r="AC79" s="472"/>
      <c r="AD79" s="472"/>
      <c r="AE79" s="472"/>
      <c r="AF79" s="472"/>
      <c r="AG79" s="472"/>
      <c r="AH79" s="472"/>
      <c r="AI79" s="472"/>
      <c r="AJ79" s="472"/>
      <c r="AK79" s="472"/>
      <c r="AL79" s="472"/>
      <c r="AM79" s="472"/>
      <c r="AN79" s="472"/>
      <c r="AO79" s="472"/>
      <c r="AP79" s="472"/>
      <c r="AQ79" s="472"/>
      <c r="AR79" s="135">
        <f>COUNTIF(B:B,B79)</f>
        <v>0</v>
      </c>
      <c r="AS79" s="135">
        <f t="shared" si="33"/>
        <v>0</v>
      </c>
      <c r="AT79" s="136"/>
      <c r="AU79" s="135" t="str">
        <f t="shared" si="34"/>
        <v>0</v>
      </c>
      <c r="AV79" s="135" t="str">
        <f t="shared" si="35"/>
        <v/>
      </c>
      <c r="AW79" s="135" t="str">
        <f t="shared" si="36"/>
        <v/>
      </c>
      <c r="AX79" s="135" t="str">
        <f t="shared" si="37"/>
        <v xml:space="preserve"> </v>
      </c>
      <c r="AY79" s="137"/>
      <c r="AZ79" s="138">
        <f t="shared" si="38"/>
        <v>0</v>
      </c>
      <c r="BA79" s="135" t="str">
        <f t="shared" si="39"/>
        <v xml:space="preserve"> </v>
      </c>
      <c r="BB79" s="135">
        <f t="shared" si="40"/>
        <v>0</v>
      </c>
      <c r="BC79" s="135" t="str">
        <f t="shared" si="41"/>
        <v>no</v>
      </c>
      <c r="BD79" s="135" t="b">
        <f t="shared" si="42"/>
        <v>1</v>
      </c>
      <c r="BE79" s="139" t="s">
        <v>59</v>
      </c>
      <c r="BF79" s="136"/>
    </row>
    <row r="80" spans="1:58" s="126" customFormat="1" ht="154">
      <c r="A80" s="472"/>
      <c r="B80" s="472"/>
      <c r="C80" s="472"/>
      <c r="D80" s="472"/>
      <c r="E80" s="472"/>
      <c r="F80" s="494" t="s">
        <v>225</v>
      </c>
      <c r="G80" s="494"/>
      <c r="H80" s="494"/>
      <c r="I80" s="494"/>
      <c r="J80" s="494"/>
      <c r="K80" s="494"/>
      <c r="L80" s="494"/>
      <c r="M80" s="494"/>
      <c r="N80" s="494"/>
      <c r="O80" s="494"/>
      <c r="P80" s="494"/>
      <c r="Q80" s="494"/>
      <c r="R80" s="494"/>
      <c r="S80" s="473">
        <f>SUM(S3:S21)</f>
        <v>1348</v>
      </c>
      <c r="T80" s="472"/>
      <c r="U80" s="473">
        <f>SUM(U3:U22)</f>
        <v>0</v>
      </c>
      <c r="V80" s="473">
        <f>SUM(V3:V21)</f>
        <v>1348</v>
      </c>
      <c r="W80" s="472"/>
      <c r="X80" s="472"/>
      <c r="Y80" s="472"/>
      <c r="Z80" s="472"/>
      <c r="AA80" s="472"/>
      <c r="AB80" s="472"/>
      <c r="AC80" s="472"/>
      <c r="AD80" s="472"/>
      <c r="AE80" s="472"/>
      <c r="AF80" s="472"/>
      <c r="AG80" s="472"/>
      <c r="AH80" s="472"/>
      <c r="AI80" s="472"/>
      <c r="AJ80" s="472"/>
      <c r="AK80" s="472"/>
      <c r="AL80" s="472"/>
      <c r="AM80" s="472"/>
      <c r="AN80" s="472"/>
      <c r="AO80" s="472"/>
      <c r="AP80" s="472"/>
      <c r="AQ80" s="472"/>
      <c r="AR80" s="135">
        <f>COUNTIF(B:B,B80)</f>
        <v>0</v>
      </c>
      <c r="AS80" s="135">
        <f t="shared" si="33"/>
        <v>0</v>
      </c>
      <c r="AT80" s="136"/>
      <c r="AU80" s="135" t="str">
        <f t="shared" si="34"/>
        <v>0</v>
      </c>
      <c r="AV80" s="135" t="str">
        <f t="shared" si="35"/>
        <v/>
      </c>
      <c r="AW80" s="135" t="str">
        <f t="shared" si="36"/>
        <v/>
      </c>
      <c r="AX80" s="135" t="str">
        <f t="shared" si="37"/>
        <v xml:space="preserve"> </v>
      </c>
      <c r="AY80" s="137"/>
      <c r="AZ80" s="138">
        <f t="shared" si="38"/>
        <v>0</v>
      </c>
      <c r="BA80" s="135" t="str">
        <f t="shared" si="39"/>
        <v xml:space="preserve"> </v>
      </c>
      <c r="BB80" s="135">
        <f t="shared" si="40"/>
        <v>0</v>
      </c>
      <c r="BC80" s="135" t="str">
        <f t="shared" si="41"/>
        <v>no</v>
      </c>
      <c r="BD80" s="135" t="b">
        <f t="shared" si="42"/>
        <v>0</v>
      </c>
      <c r="BE80" s="139" t="s">
        <v>59</v>
      </c>
      <c r="BF80" s="136"/>
    </row>
    <row r="81" spans="1:58" s="22" customFormat="1" ht="409.5">
      <c r="A81" s="128" t="s">
        <v>226</v>
      </c>
      <c r="B81" s="128" t="s">
        <v>227</v>
      </c>
      <c r="C81" s="153" t="s">
        <v>228</v>
      </c>
      <c r="D81" s="149" t="s">
        <v>229</v>
      </c>
      <c r="E81" s="154" t="s">
        <v>80</v>
      </c>
      <c r="F81" s="154" t="s">
        <v>230</v>
      </c>
      <c r="G81" s="154" t="s">
        <v>231</v>
      </c>
      <c r="H81" s="155">
        <v>43971</v>
      </c>
      <c r="I81" s="156">
        <v>43973</v>
      </c>
      <c r="J81" s="155">
        <v>44011</v>
      </c>
      <c r="K81" s="156">
        <v>44050</v>
      </c>
      <c r="L81" s="156" t="s">
        <v>232</v>
      </c>
      <c r="M81" s="156">
        <v>44046</v>
      </c>
      <c r="N81" s="156">
        <v>44050</v>
      </c>
      <c r="O81" s="156"/>
      <c r="P81" s="156"/>
      <c r="Q81" s="157" t="s">
        <v>82</v>
      </c>
      <c r="R81" s="158" t="s">
        <v>233</v>
      </c>
      <c r="S81" s="158">
        <f t="shared" ref="S81:S99" si="101">U81+V81</f>
        <v>41</v>
      </c>
      <c r="T81" s="158">
        <v>41</v>
      </c>
      <c r="U81" s="158">
        <v>0</v>
      </c>
      <c r="V81" s="159">
        <v>41</v>
      </c>
      <c r="W81" s="160"/>
      <c r="X81" s="160"/>
      <c r="Y81" s="160"/>
      <c r="Z81" s="160" t="s">
        <v>52</v>
      </c>
      <c r="AA81" s="160" t="s">
        <v>53</v>
      </c>
      <c r="AB81" s="160" t="s">
        <v>52</v>
      </c>
      <c r="AC81" s="160" t="s">
        <v>52</v>
      </c>
      <c r="AD81" s="149" t="s">
        <v>52</v>
      </c>
      <c r="AE81" s="160" t="s">
        <v>54</v>
      </c>
      <c r="AF81" s="160" t="s">
        <v>54</v>
      </c>
      <c r="AG81" s="149" t="s">
        <v>85</v>
      </c>
      <c r="AH81" s="160" t="s">
        <v>86</v>
      </c>
      <c r="AI81" s="160" t="s">
        <v>234</v>
      </c>
      <c r="AJ81" s="160" t="s">
        <v>235</v>
      </c>
      <c r="AK81" s="160"/>
      <c r="AL81" s="160" t="s">
        <v>236</v>
      </c>
      <c r="AM81" s="161"/>
      <c r="AN81" s="161" t="s">
        <v>237</v>
      </c>
      <c r="AO81" s="149"/>
      <c r="AP81" s="149"/>
      <c r="AQ81" s="149"/>
      <c r="AR81" s="135">
        <f>COUNTIF(B:B,B81)</f>
        <v>1</v>
      </c>
      <c r="AS81" s="135" t="str">
        <f t="shared" si="33"/>
        <v>2020_05_20_a</v>
      </c>
      <c r="AT81" s="136"/>
      <c r="AU81" s="135" t="str">
        <f t="shared" si="34"/>
        <v>2020</v>
      </c>
      <c r="AV81" s="135" t="str">
        <f t="shared" si="35"/>
        <v>05</v>
      </c>
      <c r="AW81" s="135" t="str">
        <f t="shared" si="36"/>
        <v>20</v>
      </c>
      <c r="AX81" s="135">
        <f t="shared" si="37"/>
        <v>43971</v>
      </c>
      <c r="AY81" s="137"/>
      <c r="AZ81" s="138">
        <f t="shared" si="38"/>
        <v>43971</v>
      </c>
      <c r="BA81" s="135" t="b">
        <f t="shared" si="39"/>
        <v>1</v>
      </c>
      <c r="BB81" s="135">
        <f t="shared" si="40"/>
        <v>43971</v>
      </c>
      <c r="BC81" s="135" t="str">
        <f t="shared" si="41"/>
        <v>no</v>
      </c>
      <c r="BD81" s="135" t="b">
        <f t="shared" si="42"/>
        <v>0</v>
      </c>
      <c r="BE81" s="139" t="s">
        <v>59</v>
      </c>
      <c r="BF81" s="136"/>
    </row>
    <row r="82" spans="1:58" s="126" customFormat="1" ht="154">
      <c r="A82" s="472" t="s">
        <v>238</v>
      </c>
      <c r="B82" s="472" t="s">
        <v>239</v>
      </c>
      <c r="C82" s="472"/>
      <c r="D82" s="81" t="s">
        <v>240</v>
      </c>
      <c r="E82" s="472"/>
      <c r="F82" s="162" t="s">
        <v>241</v>
      </c>
      <c r="G82" s="162" t="s">
        <v>242</v>
      </c>
      <c r="H82" s="96">
        <v>44040</v>
      </c>
      <c r="I82" s="163">
        <v>44050</v>
      </c>
      <c r="J82" s="96">
        <v>44053</v>
      </c>
      <c r="K82" s="163">
        <v>44104</v>
      </c>
      <c r="L82" s="163" t="s">
        <v>243</v>
      </c>
      <c r="M82" s="163" t="s">
        <v>48</v>
      </c>
      <c r="N82" s="163" t="s">
        <v>48</v>
      </c>
      <c r="O82" s="163"/>
      <c r="P82" s="163"/>
      <c r="Q82" s="164" t="s">
        <v>93</v>
      </c>
      <c r="R82" s="164" t="s">
        <v>244</v>
      </c>
      <c r="S82" s="165">
        <f t="shared" si="101"/>
        <v>16</v>
      </c>
      <c r="T82" s="165">
        <v>16</v>
      </c>
      <c r="U82" s="472">
        <v>0</v>
      </c>
      <c r="V82" s="472">
        <v>16</v>
      </c>
      <c r="W82" s="166"/>
      <c r="X82" s="166"/>
      <c r="Y82" s="166"/>
      <c r="Z82" s="166" t="s">
        <v>52</v>
      </c>
      <c r="AA82" s="166" t="s">
        <v>53</v>
      </c>
      <c r="AB82" s="166" t="s">
        <v>52</v>
      </c>
      <c r="AC82" s="166" t="s">
        <v>48</v>
      </c>
      <c r="AD82" s="166" t="s">
        <v>52</v>
      </c>
      <c r="AE82" s="472" t="s">
        <v>54</v>
      </c>
      <c r="AF82" s="472" t="s">
        <v>54</v>
      </c>
      <c r="AG82" s="472" t="s">
        <v>85</v>
      </c>
      <c r="AH82" s="472" t="s">
        <v>86</v>
      </c>
      <c r="AI82" s="472" t="s">
        <v>86</v>
      </c>
      <c r="AJ82" s="472"/>
      <c r="AK82" s="472"/>
      <c r="AL82" s="472" t="s">
        <v>245</v>
      </c>
      <c r="AM82" s="472"/>
      <c r="AN82" s="472" t="s">
        <v>246</v>
      </c>
      <c r="AO82" s="472"/>
      <c r="AP82" s="472"/>
      <c r="AQ82" s="472"/>
      <c r="AR82" s="135">
        <f>COUNTIF(B:B,B82)</f>
        <v>1</v>
      </c>
      <c r="AS82" s="135" t="str">
        <f t="shared" si="33"/>
        <v>2020_07_28_a</v>
      </c>
      <c r="AT82" s="136"/>
      <c r="AU82" s="135" t="str">
        <f t="shared" si="34"/>
        <v>2020</v>
      </c>
      <c r="AV82" s="135" t="str">
        <f t="shared" si="35"/>
        <v>07</v>
      </c>
      <c r="AW82" s="135" t="str">
        <f t="shared" si="36"/>
        <v>28</v>
      </c>
      <c r="AX82" s="135">
        <f t="shared" si="37"/>
        <v>44040</v>
      </c>
      <c r="AY82" s="137"/>
      <c r="AZ82" s="138">
        <f t="shared" si="38"/>
        <v>44040</v>
      </c>
      <c r="BA82" s="135" t="b">
        <f t="shared" si="39"/>
        <v>1</v>
      </c>
      <c r="BB82" s="135">
        <f t="shared" si="40"/>
        <v>44040</v>
      </c>
      <c r="BC82" s="135" t="str">
        <f t="shared" si="41"/>
        <v>no</v>
      </c>
      <c r="BD82" s="135" t="b">
        <f t="shared" si="42"/>
        <v>0</v>
      </c>
      <c r="BE82" s="139" t="s">
        <v>59</v>
      </c>
      <c r="BF82" s="136"/>
    </row>
    <row r="83" spans="1:58" s="126" customFormat="1" ht="154">
      <c r="A83" s="472" t="s">
        <v>247</v>
      </c>
      <c r="B83" s="472" t="s">
        <v>248</v>
      </c>
      <c r="C83" s="472"/>
      <c r="D83" s="472" t="s">
        <v>249</v>
      </c>
      <c r="E83" s="472"/>
      <c r="F83" s="162" t="s">
        <v>241</v>
      </c>
      <c r="G83" s="163" t="s">
        <v>250</v>
      </c>
      <c r="H83" s="96">
        <v>44124</v>
      </c>
      <c r="I83" s="163">
        <v>44134</v>
      </c>
      <c r="J83" s="96">
        <v>44137</v>
      </c>
      <c r="K83" s="163">
        <v>44176</v>
      </c>
      <c r="L83" s="163" t="s">
        <v>251</v>
      </c>
      <c r="M83" s="163" t="s">
        <v>48</v>
      </c>
      <c r="N83" s="163" t="s">
        <v>48</v>
      </c>
      <c r="O83" s="163"/>
      <c r="P83" s="163"/>
      <c r="Q83" s="164" t="s">
        <v>106</v>
      </c>
      <c r="R83" s="164" t="s">
        <v>252</v>
      </c>
      <c r="S83" s="164">
        <f t="shared" si="101"/>
        <v>150</v>
      </c>
      <c r="T83" s="164">
        <v>150</v>
      </c>
      <c r="U83" s="472">
        <v>0</v>
      </c>
      <c r="V83" s="472">
        <v>150</v>
      </c>
      <c r="W83" s="164"/>
      <c r="X83" s="472"/>
      <c r="Y83" s="472"/>
      <c r="Z83" s="472" t="s">
        <v>52</v>
      </c>
      <c r="AA83" s="472" t="s">
        <v>53</v>
      </c>
      <c r="AB83" s="472" t="s">
        <v>52</v>
      </c>
      <c r="AC83" s="166" t="s">
        <v>48</v>
      </c>
      <c r="AD83" s="166" t="s">
        <v>54</v>
      </c>
      <c r="AE83" s="472" t="s">
        <v>54</v>
      </c>
      <c r="AF83" s="472" t="s">
        <v>54</v>
      </c>
      <c r="AG83" s="472" t="s">
        <v>85</v>
      </c>
      <c r="AH83" s="472" t="s">
        <v>86</v>
      </c>
      <c r="AI83" s="472" t="s">
        <v>86</v>
      </c>
      <c r="AJ83" s="472" t="s">
        <v>253</v>
      </c>
      <c r="AK83" s="472"/>
      <c r="AL83" s="472" t="s">
        <v>57</v>
      </c>
      <c r="AM83" s="472"/>
      <c r="AN83" s="472"/>
      <c r="AO83" s="472"/>
      <c r="AP83" s="472"/>
      <c r="AQ83" s="472"/>
      <c r="AR83" s="135">
        <f>COUNTIF(B:B,B83)</f>
        <v>1</v>
      </c>
      <c r="AS83" s="135" t="str">
        <f t="shared" si="33"/>
        <v>2020_10_20_a</v>
      </c>
      <c r="AT83" s="136"/>
      <c r="AU83" s="135" t="str">
        <f t="shared" si="34"/>
        <v>2020</v>
      </c>
      <c r="AV83" s="135" t="str">
        <f t="shared" si="35"/>
        <v>10</v>
      </c>
      <c r="AW83" s="135" t="str">
        <f t="shared" si="36"/>
        <v>20</v>
      </c>
      <c r="AX83" s="135">
        <f t="shared" si="37"/>
        <v>44124</v>
      </c>
      <c r="AY83" s="137"/>
      <c r="AZ83" s="138">
        <f t="shared" si="38"/>
        <v>44124</v>
      </c>
      <c r="BA83" s="135" t="b">
        <f t="shared" si="39"/>
        <v>1</v>
      </c>
      <c r="BB83" s="135">
        <f t="shared" si="40"/>
        <v>44124</v>
      </c>
      <c r="BC83" s="135" t="str">
        <f t="shared" si="41"/>
        <v>no</v>
      </c>
      <c r="BD83" s="135" t="b">
        <f t="shared" si="42"/>
        <v>0</v>
      </c>
      <c r="BE83" s="139" t="s">
        <v>59</v>
      </c>
      <c r="BF83" s="136"/>
    </row>
    <row r="84" spans="1:58" s="126" customFormat="1" ht="154">
      <c r="A84" s="472"/>
      <c r="B84" s="472" t="s">
        <v>254</v>
      </c>
      <c r="C84" s="472"/>
      <c r="D84" s="472" t="s">
        <v>255</v>
      </c>
      <c r="E84" s="472"/>
      <c r="F84" s="162" t="s">
        <v>241</v>
      </c>
      <c r="G84" s="163">
        <v>44123</v>
      </c>
      <c r="H84" s="96">
        <v>44265</v>
      </c>
      <c r="I84" s="163" t="s">
        <v>256</v>
      </c>
      <c r="J84" s="96">
        <v>44277</v>
      </c>
      <c r="K84" s="163" t="s">
        <v>256</v>
      </c>
      <c r="L84" s="163" t="s">
        <v>257</v>
      </c>
      <c r="M84" s="163" t="s">
        <v>48</v>
      </c>
      <c r="N84" s="163" t="s">
        <v>48</v>
      </c>
      <c r="O84" s="163"/>
      <c r="P84" s="163"/>
      <c r="Q84" s="164"/>
      <c r="R84" s="164" t="s">
        <v>258</v>
      </c>
      <c r="S84" s="165">
        <f t="shared" si="101"/>
        <v>40</v>
      </c>
      <c r="T84" s="472">
        <v>40</v>
      </c>
      <c r="U84" s="472">
        <v>0</v>
      </c>
      <c r="V84" s="472">
        <v>40</v>
      </c>
      <c r="W84" s="164"/>
      <c r="X84" s="472"/>
      <c r="Y84" s="472"/>
      <c r="Z84" s="166" t="s">
        <v>259</v>
      </c>
      <c r="AA84" s="166" t="s">
        <v>54</v>
      </c>
      <c r="AB84" s="166" t="s">
        <v>54</v>
      </c>
      <c r="AC84" s="166" t="s">
        <v>54</v>
      </c>
      <c r="AD84" s="166" t="s">
        <v>54</v>
      </c>
      <c r="AE84" s="166" t="s">
        <v>54</v>
      </c>
      <c r="AF84" s="166" t="s">
        <v>54</v>
      </c>
      <c r="AG84" s="472" t="s">
        <v>85</v>
      </c>
      <c r="AH84" s="472" t="s">
        <v>86</v>
      </c>
      <c r="AI84" s="472" t="s">
        <v>86</v>
      </c>
      <c r="AJ84" s="472"/>
      <c r="AK84" s="472"/>
      <c r="AL84" s="472" t="s">
        <v>260</v>
      </c>
      <c r="AM84" s="472"/>
      <c r="AN84" s="472"/>
      <c r="AO84" s="472"/>
      <c r="AP84" s="472"/>
      <c r="AQ84" s="472"/>
      <c r="AR84" s="135">
        <f>COUNTIF(B:B,B84)</f>
        <v>1</v>
      </c>
      <c r="AS84" s="135" t="str">
        <f t="shared" si="33"/>
        <v>2021_03_10_a</v>
      </c>
      <c r="AT84" s="136"/>
      <c r="AU84" s="135" t="str">
        <f t="shared" si="34"/>
        <v>2021</v>
      </c>
      <c r="AV84" s="135" t="str">
        <f t="shared" si="35"/>
        <v>03</v>
      </c>
      <c r="AW84" s="135" t="str">
        <f t="shared" si="36"/>
        <v>10</v>
      </c>
      <c r="AX84" s="135">
        <f t="shared" si="37"/>
        <v>44265</v>
      </c>
      <c r="AY84" s="137"/>
      <c r="AZ84" s="138">
        <f t="shared" si="38"/>
        <v>44265</v>
      </c>
      <c r="BA84" s="135" t="b">
        <f t="shared" si="39"/>
        <v>1</v>
      </c>
      <c r="BB84" s="135">
        <f t="shared" si="40"/>
        <v>44265</v>
      </c>
      <c r="BC84" s="135" t="str">
        <f t="shared" si="41"/>
        <v>no</v>
      </c>
      <c r="BD84" s="135" t="b">
        <f t="shared" si="42"/>
        <v>0</v>
      </c>
      <c r="BE84" s="139" t="s">
        <v>59</v>
      </c>
      <c r="BF84" s="136"/>
    </row>
    <row r="85" spans="1:58" s="126" customFormat="1" ht="154">
      <c r="A85" s="472"/>
      <c r="B85" s="81" t="s">
        <v>261</v>
      </c>
      <c r="C85" s="472"/>
      <c r="D85" s="472" t="s">
        <v>262</v>
      </c>
      <c r="E85" s="472"/>
      <c r="F85" s="162" t="s">
        <v>241</v>
      </c>
      <c r="G85" s="163">
        <v>44298</v>
      </c>
      <c r="H85" s="167">
        <v>44334</v>
      </c>
      <c r="I85" s="163" t="s">
        <v>263</v>
      </c>
      <c r="J85" s="96">
        <v>44347</v>
      </c>
      <c r="K85" s="163"/>
      <c r="L85" s="163"/>
      <c r="M85" s="163"/>
      <c r="N85" s="163"/>
      <c r="O85" s="163"/>
      <c r="P85" s="163"/>
      <c r="Q85" s="164"/>
      <c r="R85" s="164"/>
      <c r="S85" s="165">
        <f t="shared" si="101"/>
        <v>20</v>
      </c>
      <c r="T85" s="472">
        <v>20</v>
      </c>
      <c r="U85" s="472">
        <v>0</v>
      </c>
      <c r="V85" s="472">
        <v>20</v>
      </c>
      <c r="W85" s="164"/>
      <c r="X85" s="472"/>
      <c r="Y85" s="472"/>
      <c r="Z85" s="166" t="s">
        <v>259</v>
      </c>
      <c r="AA85" s="166"/>
      <c r="AB85" s="166"/>
      <c r="AC85" s="166"/>
      <c r="AD85" s="166"/>
      <c r="AE85" s="166"/>
      <c r="AF85" s="166"/>
      <c r="AG85" s="472" t="s">
        <v>85</v>
      </c>
      <c r="AH85" s="472"/>
      <c r="AI85" s="472"/>
      <c r="AJ85" s="472"/>
      <c r="AK85" s="472"/>
      <c r="AL85" s="472" t="s">
        <v>260</v>
      </c>
      <c r="AM85" s="168"/>
      <c r="AN85" s="168" t="s">
        <v>264</v>
      </c>
      <c r="AO85" s="472"/>
      <c r="AP85" s="472"/>
      <c r="AQ85" s="472"/>
      <c r="AR85" s="135">
        <f>COUNTIF(B:B,B85)</f>
        <v>1</v>
      </c>
      <c r="AS85" s="135" t="str">
        <f t="shared" si="33"/>
        <v>2021_05_18_a</v>
      </c>
      <c r="AT85" s="136"/>
      <c r="AU85" s="135" t="str">
        <f t="shared" si="34"/>
        <v>2021</v>
      </c>
      <c r="AV85" s="135" t="str">
        <f t="shared" si="35"/>
        <v>05</v>
      </c>
      <c r="AW85" s="135" t="str">
        <f t="shared" si="36"/>
        <v>18</v>
      </c>
      <c r="AX85" s="135">
        <f t="shared" si="37"/>
        <v>44334</v>
      </c>
      <c r="AY85" s="137"/>
      <c r="AZ85" s="138">
        <f t="shared" si="38"/>
        <v>44334</v>
      </c>
      <c r="BA85" s="135" t="b">
        <f t="shared" si="39"/>
        <v>1</v>
      </c>
      <c r="BB85" s="135">
        <f t="shared" si="40"/>
        <v>44334</v>
      </c>
      <c r="BC85" s="135" t="str">
        <f t="shared" si="41"/>
        <v>no</v>
      </c>
      <c r="BD85" s="135" t="b">
        <f t="shared" si="42"/>
        <v>0</v>
      </c>
      <c r="BE85" s="139" t="s">
        <v>59</v>
      </c>
      <c r="BF85" s="136"/>
    </row>
    <row r="86" spans="1:58" s="126" customFormat="1" ht="154">
      <c r="A86" s="472"/>
      <c r="B86" s="472" t="s">
        <v>265</v>
      </c>
      <c r="C86" s="472"/>
      <c r="D86" s="472" t="s">
        <v>266</v>
      </c>
      <c r="E86" s="472"/>
      <c r="F86" s="162" t="s">
        <v>241</v>
      </c>
      <c r="G86" s="163">
        <v>44389</v>
      </c>
      <c r="H86" s="96">
        <v>44390</v>
      </c>
      <c r="I86" s="163"/>
      <c r="J86" s="96">
        <v>44401</v>
      </c>
      <c r="K86" s="163"/>
      <c r="L86" s="163"/>
      <c r="M86" s="163"/>
      <c r="N86" s="163"/>
      <c r="O86" s="163"/>
      <c r="P86" s="163"/>
      <c r="Q86" s="164"/>
      <c r="R86" s="164"/>
      <c r="S86" s="165">
        <f t="shared" si="101"/>
        <v>104</v>
      </c>
      <c r="T86" s="472">
        <v>104</v>
      </c>
      <c r="U86" s="472">
        <v>0</v>
      </c>
      <c r="V86" s="472">
        <v>104</v>
      </c>
      <c r="W86" s="164"/>
      <c r="X86" s="472"/>
      <c r="Y86" s="472"/>
      <c r="Z86" s="166" t="s">
        <v>259</v>
      </c>
      <c r="AA86" s="166"/>
      <c r="AB86" s="166"/>
      <c r="AC86" s="166"/>
      <c r="AD86" s="166"/>
      <c r="AE86" s="166"/>
      <c r="AF86" s="166"/>
      <c r="AG86" s="472" t="s">
        <v>85</v>
      </c>
      <c r="AH86" s="472"/>
      <c r="AI86" s="472"/>
      <c r="AJ86" s="472"/>
      <c r="AK86" s="472"/>
      <c r="AL86" s="472" t="s">
        <v>260</v>
      </c>
      <c r="AM86" s="168"/>
      <c r="AN86" s="168" t="s">
        <v>264</v>
      </c>
      <c r="AO86" s="472"/>
      <c r="AP86" s="472"/>
      <c r="AQ86" s="472"/>
      <c r="AR86" s="135">
        <f>COUNTIF(B:B,B86)</f>
        <v>1</v>
      </c>
      <c r="AS86" s="135" t="str">
        <f t="shared" si="33"/>
        <v>2021_07_13_a</v>
      </c>
      <c r="AT86" s="136"/>
      <c r="AU86" s="135" t="str">
        <f t="shared" si="34"/>
        <v>2021</v>
      </c>
      <c r="AV86" s="135" t="str">
        <f t="shared" si="35"/>
        <v>07</v>
      </c>
      <c r="AW86" s="135" t="str">
        <f t="shared" si="36"/>
        <v>13</v>
      </c>
      <c r="AX86" s="135">
        <f t="shared" si="37"/>
        <v>44390</v>
      </c>
      <c r="AY86" s="137"/>
      <c r="AZ86" s="138">
        <f t="shared" si="38"/>
        <v>44390</v>
      </c>
      <c r="BA86" s="135" t="b">
        <f t="shared" si="39"/>
        <v>1</v>
      </c>
      <c r="BB86" s="135">
        <f t="shared" si="40"/>
        <v>44390</v>
      </c>
      <c r="BC86" s="135" t="str">
        <f t="shared" si="41"/>
        <v>no</v>
      </c>
      <c r="BD86" s="135" t="b">
        <f t="shared" si="42"/>
        <v>0</v>
      </c>
      <c r="BE86" s="139" t="s">
        <v>59</v>
      </c>
      <c r="BF86" s="136"/>
    </row>
    <row r="87" spans="1:58" s="126" customFormat="1" ht="154">
      <c r="A87" s="472"/>
      <c r="B87" s="472" t="s">
        <v>267</v>
      </c>
      <c r="C87" s="472"/>
      <c r="D87" s="472" t="s">
        <v>268</v>
      </c>
      <c r="E87" s="472"/>
      <c r="F87" s="162" t="s">
        <v>241</v>
      </c>
      <c r="G87" s="163">
        <v>44537</v>
      </c>
      <c r="H87" s="96">
        <v>44537</v>
      </c>
      <c r="I87" s="163"/>
      <c r="J87" s="96">
        <v>44548</v>
      </c>
      <c r="K87" s="163"/>
      <c r="L87" s="163"/>
      <c r="M87" s="163"/>
      <c r="N87" s="163"/>
      <c r="O87" s="163"/>
      <c r="P87" s="163"/>
      <c r="Q87" s="164"/>
      <c r="R87" s="164"/>
      <c r="S87" s="165">
        <f t="shared" si="101"/>
        <v>94</v>
      </c>
      <c r="T87" s="472">
        <v>94</v>
      </c>
      <c r="U87" s="472">
        <v>0</v>
      </c>
      <c r="V87" s="472">
        <v>94</v>
      </c>
      <c r="W87" s="164"/>
      <c r="X87" s="472"/>
      <c r="Y87" s="472"/>
      <c r="Z87" s="166" t="s">
        <v>259</v>
      </c>
      <c r="AA87" s="166"/>
      <c r="AB87" s="166"/>
      <c r="AC87" s="166"/>
      <c r="AD87" s="166"/>
      <c r="AE87" s="166"/>
      <c r="AF87" s="166"/>
      <c r="AG87" s="472" t="s">
        <v>85</v>
      </c>
      <c r="AH87" s="472"/>
      <c r="AI87" s="472"/>
      <c r="AJ87" s="472"/>
      <c r="AK87" s="472"/>
      <c r="AL87" s="472" t="s">
        <v>260</v>
      </c>
      <c r="AM87" s="168"/>
      <c r="AN87" s="168" t="s">
        <v>264</v>
      </c>
      <c r="AO87" s="472"/>
      <c r="AP87" s="472"/>
      <c r="AQ87" s="472"/>
      <c r="AR87" s="135">
        <f>COUNTIF(B:B,B87)</f>
        <v>1</v>
      </c>
      <c r="AS87" s="135" t="str">
        <f t="shared" si="33"/>
        <v>2021_12_07_a</v>
      </c>
      <c r="AT87" s="136"/>
      <c r="AU87" s="135" t="str">
        <f t="shared" si="34"/>
        <v>2021</v>
      </c>
      <c r="AV87" s="135" t="str">
        <f t="shared" si="35"/>
        <v>12</v>
      </c>
      <c r="AW87" s="135" t="str">
        <f t="shared" si="36"/>
        <v>07</v>
      </c>
      <c r="AX87" s="135">
        <f t="shared" si="37"/>
        <v>44537</v>
      </c>
      <c r="AY87" s="137"/>
      <c r="AZ87" s="138">
        <f t="shared" si="38"/>
        <v>44537</v>
      </c>
      <c r="BA87" s="135" t="b">
        <f t="shared" si="39"/>
        <v>1</v>
      </c>
      <c r="BB87" s="135">
        <f t="shared" si="40"/>
        <v>44537</v>
      </c>
      <c r="BC87" s="135" t="str">
        <f t="shared" si="41"/>
        <v>no</v>
      </c>
      <c r="BD87" s="135" t="b">
        <f t="shared" si="42"/>
        <v>0</v>
      </c>
      <c r="BE87" s="139" t="s">
        <v>59</v>
      </c>
      <c r="BF87" s="136"/>
    </row>
    <row r="88" spans="1:58" s="126" customFormat="1" ht="154">
      <c r="A88" s="472"/>
      <c r="B88" s="472" t="s">
        <v>269</v>
      </c>
      <c r="C88" s="472"/>
      <c r="D88" s="472" t="s">
        <v>270</v>
      </c>
      <c r="E88" s="472"/>
      <c r="F88" s="162" t="s">
        <v>241</v>
      </c>
      <c r="G88" s="163">
        <v>44620</v>
      </c>
      <c r="H88" s="96">
        <v>44621</v>
      </c>
      <c r="I88" s="163"/>
      <c r="J88" s="96">
        <v>44632</v>
      </c>
      <c r="K88" s="163"/>
      <c r="L88" s="163"/>
      <c r="M88" s="163"/>
      <c r="N88" s="163"/>
      <c r="O88" s="163"/>
      <c r="P88" s="163"/>
      <c r="Q88" s="164"/>
      <c r="R88" s="164"/>
      <c r="S88" s="165">
        <f t="shared" si="101"/>
        <v>40</v>
      </c>
      <c r="T88" s="472"/>
      <c r="U88" s="472">
        <v>0</v>
      </c>
      <c r="V88" s="472">
        <v>40</v>
      </c>
      <c r="W88" s="164"/>
      <c r="X88" s="472"/>
      <c r="Y88" s="472"/>
      <c r="Z88" s="166" t="s">
        <v>52</v>
      </c>
      <c r="AA88" s="166"/>
      <c r="AB88" s="166"/>
      <c r="AC88" s="166"/>
      <c r="AD88" s="166"/>
      <c r="AE88" s="166"/>
      <c r="AF88" s="166"/>
      <c r="AG88" s="472" t="s">
        <v>85</v>
      </c>
      <c r="AH88" s="472"/>
      <c r="AI88" s="472"/>
      <c r="AJ88" s="472"/>
      <c r="AK88" s="472"/>
      <c r="AL88" s="472" t="s">
        <v>57</v>
      </c>
      <c r="AM88" s="168"/>
      <c r="AN88" s="168"/>
      <c r="AO88" s="472"/>
      <c r="AP88" s="472"/>
      <c r="AQ88" s="472"/>
      <c r="AR88" s="135">
        <f>COUNTIF(B:B,B88)</f>
        <v>1</v>
      </c>
      <c r="AS88" s="135" t="str">
        <f t="shared" si="33"/>
        <v>2022_03_01_a</v>
      </c>
      <c r="AT88" s="136"/>
      <c r="AU88" s="135" t="str">
        <f t="shared" si="34"/>
        <v>2022</v>
      </c>
      <c r="AV88" s="135" t="str">
        <f t="shared" si="35"/>
        <v>03</v>
      </c>
      <c r="AW88" s="135" t="str">
        <f t="shared" si="36"/>
        <v>01</v>
      </c>
      <c r="AX88" s="135">
        <f t="shared" si="37"/>
        <v>44621</v>
      </c>
      <c r="AY88" s="137"/>
      <c r="AZ88" s="138">
        <f t="shared" si="38"/>
        <v>44621</v>
      </c>
      <c r="BA88" s="135" t="b">
        <f t="shared" si="39"/>
        <v>1</v>
      </c>
      <c r="BB88" s="135">
        <f t="shared" si="40"/>
        <v>44621</v>
      </c>
      <c r="BC88" s="135" t="str">
        <f t="shared" si="41"/>
        <v>no</v>
      </c>
      <c r="BD88" s="135" t="b">
        <f t="shared" si="42"/>
        <v>0</v>
      </c>
      <c r="BE88" s="139" t="s">
        <v>59</v>
      </c>
      <c r="BF88" s="136"/>
    </row>
    <row r="89" spans="1:58" s="126" customFormat="1" ht="154">
      <c r="A89" s="472"/>
      <c r="B89" s="472" t="s">
        <v>271</v>
      </c>
      <c r="C89" s="472"/>
      <c r="D89" s="472" t="s">
        <v>272</v>
      </c>
      <c r="E89" s="472"/>
      <c r="F89" s="162" t="s">
        <v>241</v>
      </c>
      <c r="G89" s="163">
        <v>44690</v>
      </c>
      <c r="H89" s="96">
        <v>44691</v>
      </c>
      <c r="I89" s="163"/>
      <c r="J89" s="96">
        <v>44702</v>
      </c>
      <c r="K89" s="163"/>
      <c r="L89" s="163"/>
      <c r="M89" s="163"/>
      <c r="N89" s="163"/>
      <c r="O89" s="163"/>
      <c r="P89" s="163"/>
      <c r="Q89" s="164"/>
      <c r="R89" s="164"/>
      <c r="S89" s="165">
        <f t="shared" si="101"/>
        <v>34</v>
      </c>
      <c r="T89" s="472"/>
      <c r="U89" s="472">
        <v>0</v>
      </c>
      <c r="V89" s="472">
        <v>34</v>
      </c>
      <c r="W89" s="164"/>
      <c r="X89" s="472"/>
      <c r="Y89" s="472"/>
      <c r="Z89" s="166" t="s">
        <v>52</v>
      </c>
      <c r="AA89" s="166"/>
      <c r="AB89" s="166"/>
      <c r="AC89" s="166"/>
      <c r="AD89" s="166"/>
      <c r="AE89" s="166"/>
      <c r="AF89" s="166"/>
      <c r="AG89" s="472" t="s">
        <v>85</v>
      </c>
      <c r="AH89" s="472"/>
      <c r="AI89" s="472"/>
      <c r="AJ89" s="472"/>
      <c r="AK89" s="472"/>
      <c r="AL89" s="472" t="s">
        <v>57</v>
      </c>
      <c r="AM89" s="168"/>
      <c r="AN89" s="168"/>
      <c r="AO89" s="472"/>
      <c r="AP89" s="472"/>
      <c r="AQ89" s="472"/>
      <c r="AR89" s="135">
        <f>COUNTIF(B:B,B89)</f>
        <v>1</v>
      </c>
      <c r="AS89" s="135" t="str">
        <f t="shared" si="33"/>
        <v>2022_05_10_a</v>
      </c>
      <c r="AT89" s="136"/>
      <c r="AU89" s="135" t="str">
        <f t="shared" si="34"/>
        <v>2022</v>
      </c>
      <c r="AV89" s="135" t="str">
        <f t="shared" si="35"/>
        <v>05</v>
      </c>
      <c r="AW89" s="135" t="str">
        <f t="shared" si="36"/>
        <v>10</v>
      </c>
      <c r="AX89" s="135">
        <f t="shared" si="37"/>
        <v>44691</v>
      </c>
      <c r="AY89" s="137"/>
      <c r="AZ89" s="138">
        <f t="shared" si="38"/>
        <v>44691</v>
      </c>
      <c r="BA89" s="135" t="b">
        <f t="shared" si="39"/>
        <v>1</v>
      </c>
      <c r="BB89" s="135">
        <f t="shared" si="40"/>
        <v>44691</v>
      </c>
      <c r="BC89" s="135" t="str">
        <f t="shared" si="41"/>
        <v>no</v>
      </c>
      <c r="BD89" s="135" t="b">
        <f t="shared" si="42"/>
        <v>0</v>
      </c>
      <c r="BE89" s="139" t="s">
        <v>59</v>
      </c>
      <c r="BF89" s="136"/>
    </row>
    <row r="90" spans="1:58" s="126" customFormat="1" ht="154">
      <c r="A90" s="472"/>
      <c r="B90" s="472" t="s">
        <v>273</v>
      </c>
      <c r="C90" s="472"/>
      <c r="D90" s="472" t="s">
        <v>274</v>
      </c>
      <c r="E90" s="472"/>
      <c r="F90" s="162" t="s">
        <v>241</v>
      </c>
      <c r="G90" s="163" t="s">
        <v>275</v>
      </c>
      <c r="H90" s="96">
        <v>44698</v>
      </c>
      <c r="I90" s="163"/>
      <c r="J90" s="96">
        <v>44709</v>
      </c>
      <c r="K90" s="163"/>
      <c r="L90" s="163"/>
      <c r="M90" s="163"/>
      <c r="N90" s="163"/>
      <c r="O90" s="163"/>
      <c r="P90" s="163"/>
      <c r="Q90" s="164"/>
      <c r="R90" s="164"/>
      <c r="S90" s="165">
        <f t="shared" si="101"/>
        <v>7</v>
      </c>
      <c r="T90" s="472"/>
      <c r="U90" s="472">
        <v>0</v>
      </c>
      <c r="V90" s="472">
        <v>7</v>
      </c>
      <c r="W90" s="164"/>
      <c r="X90" s="472"/>
      <c r="Y90" s="472"/>
      <c r="Z90" s="166" t="s">
        <v>259</v>
      </c>
      <c r="AA90" s="166"/>
      <c r="AB90" s="166"/>
      <c r="AC90" s="166"/>
      <c r="AD90" s="166"/>
      <c r="AE90" s="166"/>
      <c r="AF90" s="166"/>
      <c r="AG90" s="472" t="s">
        <v>85</v>
      </c>
      <c r="AH90" s="472"/>
      <c r="AI90" s="472"/>
      <c r="AJ90" s="472"/>
      <c r="AK90" s="472"/>
      <c r="AL90" s="472" t="s">
        <v>57</v>
      </c>
      <c r="AM90" s="168"/>
      <c r="AN90" s="168"/>
      <c r="AO90" s="472"/>
      <c r="AP90" s="472"/>
      <c r="AQ90" s="472"/>
      <c r="AR90" s="135">
        <f>COUNTIF(B:B,B90)</f>
        <v>1</v>
      </c>
      <c r="AS90" s="135" t="str">
        <f t="shared" si="33"/>
        <v>2022_05_17_a</v>
      </c>
      <c r="AT90" s="136"/>
      <c r="AU90" s="135" t="str">
        <f t="shared" si="34"/>
        <v>2022</v>
      </c>
      <c r="AV90" s="135" t="str">
        <f t="shared" si="35"/>
        <v>05</v>
      </c>
      <c r="AW90" s="135" t="str">
        <f t="shared" si="36"/>
        <v>17</v>
      </c>
      <c r="AX90" s="135">
        <f t="shared" si="37"/>
        <v>44698</v>
      </c>
      <c r="AY90" s="137"/>
      <c r="AZ90" s="138">
        <f t="shared" si="38"/>
        <v>44698</v>
      </c>
      <c r="BA90" s="135" t="b">
        <f t="shared" si="39"/>
        <v>1</v>
      </c>
      <c r="BB90" s="135">
        <f t="shared" si="40"/>
        <v>44698</v>
      </c>
      <c r="BC90" s="135" t="str">
        <f t="shared" si="41"/>
        <v>no</v>
      </c>
      <c r="BD90" s="135" t="b">
        <f t="shared" si="42"/>
        <v>0</v>
      </c>
      <c r="BE90" s="139" t="s">
        <v>59</v>
      </c>
      <c r="BF90" s="136"/>
    </row>
    <row r="91" spans="1:58" s="126" customFormat="1" ht="154">
      <c r="A91" s="472"/>
      <c r="B91" s="472" t="s">
        <v>276</v>
      </c>
      <c r="C91" s="472"/>
      <c r="D91" s="472" t="s">
        <v>277</v>
      </c>
      <c r="E91" s="472"/>
      <c r="F91" s="162" t="s">
        <v>241</v>
      </c>
      <c r="G91" s="163">
        <v>44753</v>
      </c>
      <c r="H91" s="96">
        <v>44754</v>
      </c>
      <c r="I91" s="163"/>
      <c r="J91" s="96">
        <v>44765</v>
      </c>
      <c r="K91" s="163"/>
      <c r="L91" s="163"/>
      <c r="M91" s="163"/>
      <c r="N91" s="163"/>
      <c r="O91" s="163"/>
      <c r="P91" s="163"/>
      <c r="Q91" s="164"/>
      <c r="R91" s="164"/>
      <c r="S91" s="165">
        <f t="shared" si="101"/>
        <v>79</v>
      </c>
      <c r="T91" s="472"/>
      <c r="U91" s="472">
        <v>0</v>
      </c>
      <c r="V91" s="472">
        <v>79</v>
      </c>
      <c r="W91" s="164"/>
      <c r="X91" s="472"/>
      <c r="Y91" s="472"/>
      <c r="Z91" s="166" t="s">
        <v>259</v>
      </c>
      <c r="AA91" s="166"/>
      <c r="AB91" s="166"/>
      <c r="AC91" s="166"/>
      <c r="AD91" s="166"/>
      <c r="AE91" s="166"/>
      <c r="AF91" s="166"/>
      <c r="AG91" s="472" t="s">
        <v>85</v>
      </c>
      <c r="AH91" s="472"/>
      <c r="AI91" s="472"/>
      <c r="AJ91" s="472"/>
      <c r="AK91" s="472"/>
      <c r="AL91" s="472" t="s">
        <v>57</v>
      </c>
      <c r="AM91" s="168"/>
      <c r="AN91" s="168"/>
      <c r="AO91" s="472"/>
      <c r="AP91" s="472"/>
      <c r="AQ91" s="472"/>
      <c r="AR91" s="135">
        <f>COUNTIF(B:B,B91)</f>
        <v>1</v>
      </c>
      <c r="AS91" s="135" t="str">
        <f t="shared" si="33"/>
        <v>2022_07_12_a</v>
      </c>
      <c r="AT91" s="136"/>
      <c r="AU91" s="135" t="str">
        <f t="shared" si="34"/>
        <v>2022</v>
      </c>
      <c r="AV91" s="135" t="str">
        <f t="shared" si="35"/>
        <v>07</v>
      </c>
      <c r="AW91" s="135" t="str">
        <f t="shared" si="36"/>
        <v>12</v>
      </c>
      <c r="AX91" s="135">
        <f t="shared" si="37"/>
        <v>44754</v>
      </c>
      <c r="AY91" s="137"/>
      <c r="AZ91" s="138">
        <f t="shared" si="38"/>
        <v>44754</v>
      </c>
      <c r="BA91" s="135" t="b">
        <f t="shared" si="39"/>
        <v>1</v>
      </c>
      <c r="BB91" s="135">
        <f t="shared" si="40"/>
        <v>44754</v>
      </c>
      <c r="BC91" s="135" t="str">
        <f t="shared" si="41"/>
        <v>no</v>
      </c>
      <c r="BD91" s="135" t="b">
        <f t="shared" si="42"/>
        <v>0</v>
      </c>
      <c r="BE91" s="139" t="s">
        <v>59</v>
      </c>
      <c r="BF91" s="136"/>
    </row>
    <row r="92" spans="1:58" s="126" customFormat="1" ht="154">
      <c r="A92" s="472"/>
      <c r="B92" s="472" t="s">
        <v>278</v>
      </c>
      <c r="C92" s="472"/>
      <c r="D92" s="472" t="s">
        <v>279</v>
      </c>
      <c r="E92" s="472"/>
      <c r="F92" s="162" t="s">
        <v>241</v>
      </c>
      <c r="G92" s="163">
        <v>44781</v>
      </c>
      <c r="H92" s="96">
        <v>44782</v>
      </c>
      <c r="I92" s="163"/>
      <c r="J92" s="96">
        <v>44793</v>
      </c>
      <c r="K92" s="163"/>
      <c r="L92" s="163"/>
      <c r="M92" s="163"/>
      <c r="N92" s="163"/>
      <c r="O92" s="163"/>
      <c r="P92" s="163"/>
      <c r="Q92" s="164"/>
      <c r="R92" s="164"/>
      <c r="S92" s="165">
        <f t="shared" si="101"/>
        <v>138</v>
      </c>
      <c r="T92" s="472"/>
      <c r="U92" s="472">
        <v>0</v>
      </c>
      <c r="V92" s="472">
        <v>138</v>
      </c>
      <c r="W92" s="164"/>
      <c r="X92" s="472"/>
      <c r="Y92" s="472"/>
      <c r="Z92" s="166" t="s">
        <v>259</v>
      </c>
      <c r="AA92" s="166"/>
      <c r="AB92" s="166"/>
      <c r="AC92" s="166"/>
      <c r="AD92" s="166"/>
      <c r="AE92" s="166"/>
      <c r="AF92" s="166"/>
      <c r="AG92" s="472" t="s">
        <v>85</v>
      </c>
      <c r="AH92" s="472"/>
      <c r="AI92" s="472"/>
      <c r="AJ92" s="472"/>
      <c r="AK92" s="472"/>
      <c r="AL92" s="472" t="s">
        <v>57</v>
      </c>
      <c r="AM92" s="168"/>
      <c r="AN92" s="168"/>
      <c r="AO92" s="472"/>
      <c r="AP92" s="472"/>
      <c r="AQ92" s="472"/>
      <c r="AR92" s="135">
        <f>COUNTIF(B:B,B92)</f>
        <v>1</v>
      </c>
      <c r="AS92" s="135" t="str">
        <f t="shared" si="33"/>
        <v>2022_08_09_a</v>
      </c>
      <c r="AT92" s="136"/>
      <c r="AU92" s="135" t="str">
        <f t="shared" si="34"/>
        <v>2022</v>
      </c>
      <c r="AV92" s="135" t="str">
        <f t="shared" si="35"/>
        <v>08</v>
      </c>
      <c r="AW92" s="135" t="str">
        <f t="shared" si="36"/>
        <v>09</v>
      </c>
      <c r="AX92" s="135">
        <f t="shared" si="37"/>
        <v>44782</v>
      </c>
      <c r="AY92" s="137"/>
      <c r="AZ92" s="138">
        <f t="shared" si="38"/>
        <v>44782</v>
      </c>
      <c r="BA92" s="135" t="b">
        <f t="shared" si="39"/>
        <v>1</v>
      </c>
      <c r="BB92" s="135">
        <f t="shared" si="40"/>
        <v>44782</v>
      </c>
      <c r="BC92" s="135" t="str">
        <f t="shared" si="41"/>
        <v>no</v>
      </c>
      <c r="BD92" s="135" t="b">
        <f t="shared" si="42"/>
        <v>0</v>
      </c>
      <c r="BE92" s="139" t="s">
        <v>59</v>
      </c>
      <c r="BF92" s="136"/>
    </row>
    <row r="93" spans="1:58" s="126" customFormat="1" ht="154">
      <c r="A93" s="472"/>
      <c r="B93" s="472" t="s">
        <v>280</v>
      </c>
      <c r="C93" s="472"/>
      <c r="D93" s="472" t="s">
        <v>281</v>
      </c>
      <c r="E93" s="472"/>
      <c r="F93" s="162" t="s">
        <v>241</v>
      </c>
      <c r="G93" s="163">
        <v>44893</v>
      </c>
      <c r="H93" s="96">
        <v>44894</v>
      </c>
      <c r="I93" s="163"/>
      <c r="J93" s="96">
        <v>44905</v>
      </c>
      <c r="K93" s="163"/>
      <c r="L93" s="163"/>
      <c r="M93" s="163"/>
      <c r="N93" s="163"/>
      <c r="O93" s="163"/>
      <c r="P93" s="163"/>
      <c r="Q93" s="164"/>
      <c r="R93" s="164" t="s">
        <v>282</v>
      </c>
      <c r="S93" s="165">
        <f t="shared" si="101"/>
        <v>31</v>
      </c>
      <c r="T93" s="472"/>
      <c r="U93" s="472">
        <v>0</v>
      </c>
      <c r="V93" s="472">
        <v>31</v>
      </c>
      <c r="W93" s="164"/>
      <c r="X93" s="472"/>
      <c r="Y93" s="472"/>
      <c r="Z93" s="166" t="s">
        <v>259</v>
      </c>
      <c r="AA93" s="166"/>
      <c r="AB93" s="166"/>
      <c r="AC93" s="166"/>
      <c r="AD93" s="166"/>
      <c r="AE93" s="166"/>
      <c r="AF93" s="166"/>
      <c r="AG93" s="472" t="s">
        <v>85</v>
      </c>
      <c r="AH93" s="472" t="s">
        <v>283</v>
      </c>
      <c r="AI93" s="472"/>
      <c r="AJ93" s="472"/>
      <c r="AK93" s="472"/>
      <c r="AL93" s="472"/>
      <c r="AM93" s="168"/>
      <c r="AN93" s="168"/>
      <c r="AO93" s="472"/>
      <c r="AP93" s="472"/>
      <c r="AQ93" s="472"/>
      <c r="AR93" s="135">
        <f>COUNTIF(B:B,B93)</f>
        <v>1</v>
      </c>
      <c r="AS93" s="135" t="str">
        <f t="shared" si="33"/>
        <v>2022_11_29_a</v>
      </c>
      <c r="AT93" s="136"/>
      <c r="AU93" s="135" t="str">
        <f t="shared" si="34"/>
        <v>2022</v>
      </c>
      <c r="AV93" s="135" t="str">
        <f t="shared" si="35"/>
        <v>11</v>
      </c>
      <c r="AW93" s="135" t="str">
        <f t="shared" si="36"/>
        <v>29</v>
      </c>
      <c r="AX93" s="135">
        <f t="shared" si="37"/>
        <v>44894</v>
      </c>
      <c r="AY93" s="137"/>
      <c r="AZ93" s="138">
        <f t="shared" si="38"/>
        <v>44894</v>
      </c>
      <c r="BA93" s="135" t="b">
        <f t="shared" si="39"/>
        <v>1</v>
      </c>
      <c r="BB93" s="135">
        <f t="shared" si="40"/>
        <v>44894</v>
      </c>
      <c r="BC93" s="135" t="str">
        <f t="shared" si="41"/>
        <v>no</v>
      </c>
      <c r="BD93" s="135" t="b">
        <f t="shared" si="42"/>
        <v>0</v>
      </c>
      <c r="BE93" s="139" t="s">
        <v>59</v>
      </c>
      <c r="BF93" s="136"/>
    </row>
    <row r="94" spans="1:58" s="149" customFormat="1" ht="409.5">
      <c r="A94" s="128" t="s">
        <v>284</v>
      </c>
      <c r="B94" s="128" t="s">
        <v>285</v>
      </c>
      <c r="C94" s="153" t="s">
        <v>286</v>
      </c>
      <c r="D94" s="149" t="s">
        <v>287</v>
      </c>
      <c r="E94" s="154" t="s">
        <v>80</v>
      </c>
      <c r="F94" s="154" t="s">
        <v>288</v>
      </c>
      <c r="G94" s="154" t="s">
        <v>289</v>
      </c>
      <c r="H94" s="155">
        <v>43978</v>
      </c>
      <c r="I94" s="156">
        <v>43980</v>
      </c>
      <c r="J94" s="155">
        <v>44011</v>
      </c>
      <c r="K94" s="156">
        <v>44051</v>
      </c>
      <c r="L94" s="156" t="s">
        <v>232</v>
      </c>
      <c r="M94" s="156">
        <v>44061</v>
      </c>
      <c r="N94" s="156">
        <v>44065</v>
      </c>
      <c r="O94" s="156"/>
      <c r="P94" s="156"/>
      <c r="Q94" s="149" t="s">
        <v>82</v>
      </c>
      <c r="R94" s="149" t="s">
        <v>290</v>
      </c>
      <c r="S94" s="149">
        <f t="shared" si="101"/>
        <v>18</v>
      </c>
      <c r="T94" s="149">
        <v>18</v>
      </c>
      <c r="U94" s="149">
        <v>18</v>
      </c>
      <c r="V94" s="472">
        <v>0</v>
      </c>
      <c r="Z94" s="160" t="s">
        <v>52</v>
      </c>
      <c r="AA94" s="160" t="s">
        <v>53</v>
      </c>
      <c r="AB94" s="160" t="s">
        <v>52</v>
      </c>
      <c r="AC94" s="160" t="s">
        <v>52</v>
      </c>
      <c r="AD94" s="149" t="s">
        <v>52</v>
      </c>
      <c r="AE94" s="160" t="s">
        <v>54</v>
      </c>
      <c r="AF94" s="160" t="s">
        <v>54</v>
      </c>
      <c r="AG94" s="149" t="s">
        <v>85</v>
      </c>
      <c r="AH94" s="160" t="s">
        <v>86</v>
      </c>
      <c r="AI94" s="160" t="s">
        <v>234</v>
      </c>
      <c r="AJ94" s="160" t="s">
        <v>235</v>
      </c>
      <c r="AK94" s="160"/>
      <c r="AL94" s="160" t="s">
        <v>291</v>
      </c>
      <c r="AM94" s="161"/>
      <c r="AN94" s="161" t="s">
        <v>292</v>
      </c>
      <c r="AR94" s="135">
        <f>COUNTIF(B:B,B94)</f>
        <v>1</v>
      </c>
      <c r="AS94" s="135" t="str">
        <f t="shared" si="33"/>
        <v>2020_05_27_a</v>
      </c>
      <c r="AT94" s="136"/>
      <c r="AU94" s="135" t="str">
        <f t="shared" si="34"/>
        <v>2020</v>
      </c>
      <c r="AV94" s="135" t="str">
        <f t="shared" si="35"/>
        <v>05</v>
      </c>
      <c r="AW94" s="135" t="str">
        <f t="shared" si="36"/>
        <v>27</v>
      </c>
      <c r="AX94" s="135">
        <f t="shared" si="37"/>
        <v>43978</v>
      </c>
      <c r="AY94" s="137"/>
      <c r="AZ94" s="138">
        <f t="shared" si="38"/>
        <v>43978</v>
      </c>
      <c r="BA94" s="135" t="b">
        <f t="shared" si="39"/>
        <v>1</v>
      </c>
      <c r="BB94" s="135">
        <f t="shared" si="40"/>
        <v>43978</v>
      </c>
      <c r="BC94" s="135" t="str">
        <f t="shared" si="41"/>
        <v>no</v>
      </c>
      <c r="BD94" s="135" t="b">
        <f t="shared" si="42"/>
        <v>0</v>
      </c>
      <c r="BE94" s="139" t="s">
        <v>59</v>
      </c>
      <c r="BF94" s="136"/>
    </row>
    <row r="95" spans="1:58" s="126" customFormat="1" ht="154">
      <c r="A95" s="472" t="s">
        <v>293</v>
      </c>
      <c r="B95" s="472" t="s">
        <v>294</v>
      </c>
      <c r="C95" s="472"/>
      <c r="D95" s="81" t="s">
        <v>295</v>
      </c>
      <c r="E95" s="472"/>
      <c r="F95" s="162" t="s">
        <v>288</v>
      </c>
      <c r="G95" s="162" t="s">
        <v>296</v>
      </c>
      <c r="H95" s="96">
        <v>44055</v>
      </c>
      <c r="I95" s="163">
        <v>44065</v>
      </c>
      <c r="J95" s="96">
        <v>44067</v>
      </c>
      <c r="K95" s="163">
        <v>44113</v>
      </c>
      <c r="L95" s="163" t="s">
        <v>297</v>
      </c>
      <c r="M95" s="163" t="s">
        <v>48</v>
      </c>
      <c r="N95" s="163" t="s">
        <v>48</v>
      </c>
      <c r="O95" s="163"/>
      <c r="P95" s="163"/>
      <c r="Q95" s="164" t="s">
        <v>93</v>
      </c>
      <c r="R95" s="164" t="s">
        <v>298</v>
      </c>
      <c r="S95" s="165">
        <f t="shared" si="101"/>
        <v>46</v>
      </c>
      <c r="T95" s="165">
        <v>46</v>
      </c>
      <c r="U95" s="472">
        <v>46</v>
      </c>
      <c r="V95" s="472">
        <v>0</v>
      </c>
      <c r="W95" s="166"/>
      <c r="X95" s="166"/>
      <c r="Y95" s="166"/>
      <c r="Z95" s="166" t="s">
        <v>52</v>
      </c>
      <c r="AA95" s="166" t="s">
        <v>53</v>
      </c>
      <c r="AB95" s="166" t="s">
        <v>52</v>
      </c>
      <c r="AC95" s="166" t="s">
        <v>48</v>
      </c>
      <c r="AD95" s="166" t="s">
        <v>53</v>
      </c>
      <c r="AE95" s="472" t="s">
        <v>54</v>
      </c>
      <c r="AF95" s="472" t="s">
        <v>54</v>
      </c>
      <c r="AG95" s="472" t="s">
        <v>85</v>
      </c>
      <c r="AH95" s="472" t="s">
        <v>86</v>
      </c>
      <c r="AI95" s="472" t="s">
        <v>234</v>
      </c>
      <c r="AJ95" s="472"/>
      <c r="AK95" s="472"/>
      <c r="AL95" s="472" t="s">
        <v>245</v>
      </c>
      <c r="AM95" s="472"/>
      <c r="AN95" s="472" t="s">
        <v>299</v>
      </c>
      <c r="AO95" s="472"/>
      <c r="AP95" s="472"/>
      <c r="AQ95" s="472"/>
      <c r="AR95" s="135">
        <f>COUNTIF(B:B,B95)</f>
        <v>1</v>
      </c>
      <c r="AS95" s="135" t="str">
        <f t="shared" si="33"/>
        <v>2020_08_12_a</v>
      </c>
      <c r="AT95" s="136"/>
      <c r="AU95" s="135" t="str">
        <f t="shared" si="34"/>
        <v>2020</v>
      </c>
      <c r="AV95" s="135" t="str">
        <f t="shared" si="35"/>
        <v>08</v>
      </c>
      <c r="AW95" s="135" t="str">
        <f t="shared" si="36"/>
        <v>12</v>
      </c>
      <c r="AX95" s="135">
        <f t="shared" si="37"/>
        <v>44055</v>
      </c>
      <c r="AY95" s="137"/>
      <c r="AZ95" s="138">
        <f t="shared" si="38"/>
        <v>44055</v>
      </c>
      <c r="BA95" s="135" t="b">
        <f t="shared" si="39"/>
        <v>1</v>
      </c>
      <c r="BB95" s="135">
        <f t="shared" si="40"/>
        <v>44055</v>
      </c>
      <c r="BC95" s="135" t="str">
        <f t="shared" si="41"/>
        <v>no</v>
      </c>
      <c r="BD95" s="135" t="b">
        <f t="shared" si="42"/>
        <v>0</v>
      </c>
      <c r="BE95" s="139" t="s">
        <v>59</v>
      </c>
      <c r="BF95" s="136"/>
    </row>
    <row r="96" spans="1:58" s="126" customFormat="1" ht="304.5">
      <c r="A96" s="128" t="s">
        <v>300</v>
      </c>
      <c r="B96" s="128" t="s">
        <v>301</v>
      </c>
      <c r="C96" s="472"/>
      <c r="D96" s="472" t="s">
        <v>302</v>
      </c>
      <c r="E96" s="472"/>
      <c r="F96" s="162" t="s">
        <v>288</v>
      </c>
      <c r="G96" s="169">
        <v>44014</v>
      </c>
      <c r="H96" s="96">
        <v>44019</v>
      </c>
      <c r="I96" s="163">
        <v>44029</v>
      </c>
      <c r="J96" s="96">
        <v>44032</v>
      </c>
      <c r="K96" s="163">
        <v>44074</v>
      </c>
      <c r="L96" s="163" t="s">
        <v>303</v>
      </c>
      <c r="M96" s="163" t="s">
        <v>48</v>
      </c>
      <c r="N96" s="163" t="s">
        <v>48</v>
      </c>
      <c r="O96" s="163"/>
      <c r="P96" s="163"/>
      <c r="Q96" s="164" t="s">
        <v>304</v>
      </c>
      <c r="R96" s="164" t="s">
        <v>305</v>
      </c>
      <c r="S96" s="164">
        <f t="shared" si="101"/>
        <v>2</v>
      </c>
      <c r="T96" s="164">
        <v>2</v>
      </c>
      <c r="U96" s="472">
        <v>2</v>
      </c>
      <c r="V96" s="472">
        <v>0</v>
      </c>
      <c r="W96" s="166"/>
      <c r="X96" s="166"/>
      <c r="Y96" s="166"/>
      <c r="Z96" s="166" t="s">
        <v>52</v>
      </c>
      <c r="AA96" s="166" t="s">
        <v>53</v>
      </c>
      <c r="AB96" s="166" t="s">
        <v>52</v>
      </c>
      <c r="AC96" s="166" t="s">
        <v>48</v>
      </c>
      <c r="AD96" s="166" t="s">
        <v>52</v>
      </c>
      <c r="AE96" s="472" t="s">
        <v>54</v>
      </c>
      <c r="AF96" s="472" t="s">
        <v>54</v>
      </c>
      <c r="AG96" s="472" t="s">
        <v>85</v>
      </c>
      <c r="AH96" s="472" t="s">
        <v>86</v>
      </c>
      <c r="AI96" s="472" t="s">
        <v>234</v>
      </c>
      <c r="AJ96" s="472"/>
      <c r="AK96" s="472"/>
      <c r="AL96" s="472"/>
      <c r="AM96" s="472"/>
      <c r="AN96" s="472" t="s">
        <v>306</v>
      </c>
      <c r="AO96" s="472"/>
      <c r="AP96" s="472"/>
      <c r="AQ96" s="472"/>
      <c r="AR96" s="135">
        <f>COUNTIF(B:B,B96)</f>
        <v>1</v>
      </c>
      <c r="AS96" s="135" t="str">
        <f t="shared" si="33"/>
        <v>2020_07_07_a</v>
      </c>
      <c r="AT96" s="136"/>
      <c r="AU96" s="135" t="str">
        <f t="shared" si="34"/>
        <v>2020</v>
      </c>
      <c r="AV96" s="135" t="str">
        <f t="shared" si="35"/>
        <v>07</v>
      </c>
      <c r="AW96" s="135" t="str">
        <f t="shared" si="36"/>
        <v>07</v>
      </c>
      <c r="AX96" s="135">
        <f t="shared" si="37"/>
        <v>44019</v>
      </c>
      <c r="AY96" s="137"/>
      <c r="AZ96" s="138">
        <f t="shared" si="38"/>
        <v>44019</v>
      </c>
      <c r="BA96" s="135" t="b">
        <f t="shared" si="39"/>
        <v>1</v>
      </c>
      <c r="BB96" s="135">
        <f t="shared" si="40"/>
        <v>44019</v>
      </c>
      <c r="BC96" s="135" t="str">
        <f t="shared" si="41"/>
        <v>no</v>
      </c>
      <c r="BD96" s="135" t="b">
        <f t="shared" si="42"/>
        <v>0</v>
      </c>
      <c r="BE96" s="139" t="s">
        <v>59</v>
      </c>
      <c r="BF96" s="136"/>
    </row>
    <row r="97" spans="2:58" s="126" customFormat="1" ht="154">
      <c r="B97" s="472" t="s">
        <v>307</v>
      </c>
      <c r="C97" s="472"/>
      <c r="D97" s="472" t="s">
        <v>308</v>
      </c>
      <c r="E97" s="472"/>
      <c r="F97" s="162" t="s">
        <v>288</v>
      </c>
      <c r="G97" s="163" t="s">
        <v>309</v>
      </c>
      <c r="H97" s="96">
        <v>44125</v>
      </c>
      <c r="I97" s="163">
        <v>44135</v>
      </c>
      <c r="J97" s="96">
        <v>44137</v>
      </c>
      <c r="K97" s="163">
        <v>44176</v>
      </c>
      <c r="L97" s="163" t="s">
        <v>251</v>
      </c>
      <c r="M97" s="163" t="s">
        <v>48</v>
      </c>
      <c r="N97" s="163" t="s">
        <v>48</v>
      </c>
      <c r="O97" s="163"/>
      <c r="P97" s="163"/>
      <c r="Q97" s="164" t="s">
        <v>310</v>
      </c>
      <c r="R97" s="164" t="s">
        <v>311</v>
      </c>
      <c r="S97" s="165">
        <f t="shared" si="101"/>
        <v>67</v>
      </c>
      <c r="T97" s="165">
        <v>67</v>
      </c>
      <c r="U97" s="472">
        <v>67</v>
      </c>
      <c r="V97" s="472">
        <v>0</v>
      </c>
      <c r="W97" s="164"/>
      <c r="X97" s="472"/>
      <c r="Y97" s="472"/>
      <c r="Z97" s="472" t="s">
        <v>52</v>
      </c>
      <c r="AA97" s="472" t="s">
        <v>53</v>
      </c>
      <c r="AB97" s="472" t="s">
        <v>52</v>
      </c>
      <c r="AC97" s="166" t="s">
        <v>48</v>
      </c>
      <c r="AD97" s="166" t="s">
        <v>54</v>
      </c>
      <c r="AE97" s="472" t="s">
        <v>54</v>
      </c>
      <c r="AF97" s="472" t="s">
        <v>54</v>
      </c>
      <c r="AG97" s="472" t="s">
        <v>85</v>
      </c>
      <c r="AH97" s="472" t="s">
        <v>86</v>
      </c>
      <c r="AI97" s="472" t="s">
        <v>86</v>
      </c>
      <c r="AJ97" s="472" t="s">
        <v>253</v>
      </c>
      <c r="AK97" s="472"/>
      <c r="AL97" s="472" t="s">
        <v>260</v>
      </c>
      <c r="AM97" s="472"/>
      <c r="AN97" s="472"/>
      <c r="AO97" s="472"/>
      <c r="AP97" s="472"/>
      <c r="AQ97" s="472"/>
      <c r="AR97" s="135">
        <f>COUNTIF(B:B,B97)</f>
        <v>1</v>
      </c>
      <c r="AS97" s="135" t="str">
        <f t="shared" si="33"/>
        <v>2020_10_21_a</v>
      </c>
      <c r="AT97" s="136"/>
      <c r="AU97" s="135" t="str">
        <f t="shared" si="34"/>
        <v>2020</v>
      </c>
      <c r="AV97" s="135" t="str">
        <f t="shared" si="35"/>
        <v>10</v>
      </c>
      <c r="AW97" s="135" t="str">
        <f t="shared" si="36"/>
        <v>21</v>
      </c>
      <c r="AX97" s="135">
        <f t="shared" si="37"/>
        <v>44125</v>
      </c>
      <c r="AY97" s="137"/>
      <c r="AZ97" s="138">
        <f t="shared" si="38"/>
        <v>44125</v>
      </c>
      <c r="BA97" s="135" t="b">
        <f t="shared" si="39"/>
        <v>1</v>
      </c>
      <c r="BB97" s="135">
        <f t="shared" si="40"/>
        <v>44125</v>
      </c>
      <c r="BC97" s="135" t="str">
        <f t="shared" si="41"/>
        <v>no</v>
      </c>
      <c r="BD97" s="135" t="b">
        <f t="shared" si="42"/>
        <v>0</v>
      </c>
      <c r="BE97" s="139" t="s">
        <v>59</v>
      </c>
      <c r="BF97" s="136"/>
    </row>
    <row r="98" spans="2:58" s="126" customFormat="1" ht="154">
      <c r="B98" s="472" t="s">
        <v>312</v>
      </c>
      <c r="C98" s="472"/>
      <c r="D98" s="472" t="s">
        <v>313</v>
      </c>
      <c r="E98" s="472"/>
      <c r="F98" s="162" t="s">
        <v>288</v>
      </c>
      <c r="G98" s="163">
        <v>44075</v>
      </c>
      <c r="H98" s="96">
        <v>44265</v>
      </c>
      <c r="I98" s="163" t="s">
        <v>256</v>
      </c>
      <c r="J98" s="96">
        <v>44277</v>
      </c>
      <c r="K98" s="163" t="s">
        <v>256</v>
      </c>
      <c r="L98" s="163" t="s">
        <v>257</v>
      </c>
      <c r="M98" s="163" t="s">
        <v>48</v>
      </c>
      <c r="N98" s="163" t="s">
        <v>48</v>
      </c>
      <c r="O98" s="163"/>
      <c r="P98" s="163"/>
      <c r="Q98" s="164"/>
      <c r="R98" s="164" t="s">
        <v>314</v>
      </c>
      <c r="S98" s="165">
        <f t="shared" si="101"/>
        <v>31</v>
      </c>
      <c r="T98" s="168">
        <v>31</v>
      </c>
      <c r="U98" s="168">
        <v>31</v>
      </c>
      <c r="V98" s="472">
        <v>0</v>
      </c>
      <c r="W98" s="164"/>
      <c r="X98" s="472"/>
      <c r="Y98" s="472"/>
      <c r="Z98" s="472" t="s">
        <v>52</v>
      </c>
      <c r="AA98" s="166" t="s">
        <v>54</v>
      </c>
      <c r="AB98" s="166" t="s">
        <v>54</v>
      </c>
      <c r="AC98" s="166" t="s">
        <v>54</v>
      </c>
      <c r="AD98" s="166" t="s">
        <v>54</v>
      </c>
      <c r="AE98" s="166" t="s">
        <v>54</v>
      </c>
      <c r="AF98" s="166" t="s">
        <v>54</v>
      </c>
      <c r="AG98" s="472" t="s">
        <v>85</v>
      </c>
      <c r="AH98" s="472" t="s">
        <v>86</v>
      </c>
      <c r="AI98" s="472" t="s">
        <v>86</v>
      </c>
      <c r="AJ98" s="472"/>
      <c r="AK98" s="472"/>
      <c r="AL98" s="472" t="s">
        <v>260</v>
      </c>
      <c r="AM98" s="472"/>
      <c r="AN98" s="472"/>
      <c r="AO98" s="472"/>
      <c r="AP98" s="472"/>
      <c r="AQ98" s="472"/>
      <c r="AR98" s="135">
        <f>COUNTIF(B:B,B98)</f>
        <v>1</v>
      </c>
      <c r="AS98" s="135" t="str">
        <f t="shared" si="33"/>
        <v>2021_03_10_a</v>
      </c>
      <c r="AT98" s="136"/>
      <c r="AU98" s="135" t="str">
        <f t="shared" si="34"/>
        <v>2021</v>
      </c>
      <c r="AV98" s="135" t="str">
        <f t="shared" si="35"/>
        <v>03</v>
      </c>
      <c r="AW98" s="135" t="str">
        <f t="shared" si="36"/>
        <v>10</v>
      </c>
      <c r="AX98" s="135">
        <f t="shared" si="37"/>
        <v>44265</v>
      </c>
      <c r="AY98" s="137"/>
      <c r="AZ98" s="138">
        <f t="shared" si="38"/>
        <v>44265</v>
      </c>
      <c r="BA98" s="135" t="b">
        <f t="shared" si="39"/>
        <v>1</v>
      </c>
      <c r="BB98" s="135">
        <f t="shared" si="40"/>
        <v>44265</v>
      </c>
      <c r="BC98" s="135" t="str">
        <f t="shared" si="41"/>
        <v>no</v>
      </c>
      <c r="BD98" s="135" t="b">
        <f t="shared" si="42"/>
        <v>0</v>
      </c>
      <c r="BE98" s="139" t="s">
        <v>59</v>
      </c>
      <c r="BF98" s="136"/>
    </row>
    <row r="99" spans="2:58" s="126" customFormat="1" ht="154">
      <c r="B99" s="472" t="s">
        <v>315</v>
      </c>
      <c r="C99" s="472"/>
      <c r="D99" s="472" t="s">
        <v>316</v>
      </c>
      <c r="E99" s="472"/>
      <c r="F99" s="162" t="s">
        <v>288</v>
      </c>
      <c r="G99" s="163">
        <v>44298</v>
      </c>
      <c r="H99" s="167">
        <v>44299</v>
      </c>
      <c r="I99" s="163"/>
      <c r="J99" s="96">
        <v>44279</v>
      </c>
      <c r="K99" s="163"/>
      <c r="L99" s="163"/>
      <c r="M99" s="163"/>
      <c r="N99" s="163"/>
      <c r="O99" s="163"/>
      <c r="P99" s="163"/>
      <c r="Q99" s="164"/>
      <c r="R99" s="164"/>
      <c r="S99" s="165">
        <f t="shared" si="101"/>
        <v>37</v>
      </c>
      <c r="T99" s="168">
        <v>37</v>
      </c>
      <c r="U99" s="168">
        <v>37</v>
      </c>
      <c r="V99" s="472">
        <v>0</v>
      </c>
      <c r="W99" s="164"/>
      <c r="X99" s="472"/>
      <c r="Y99" s="472"/>
      <c r="Z99" s="472" t="s">
        <v>52</v>
      </c>
      <c r="AA99" s="166"/>
      <c r="AB99" s="166"/>
      <c r="AC99" s="166"/>
      <c r="AD99" s="166"/>
      <c r="AE99" s="166"/>
      <c r="AF99" s="166"/>
      <c r="AG99" s="472" t="s">
        <v>85</v>
      </c>
      <c r="AH99" s="472"/>
      <c r="AI99" s="472"/>
      <c r="AJ99" s="472"/>
      <c r="AK99" s="472"/>
      <c r="AL99" s="472" t="s">
        <v>260</v>
      </c>
      <c r="AM99" s="472"/>
      <c r="AN99" s="472"/>
      <c r="AO99" s="472"/>
      <c r="AP99" s="472"/>
      <c r="AQ99" s="472"/>
      <c r="AR99" s="135">
        <f>COUNTIF(B:B,B99)</f>
        <v>1</v>
      </c>
      <c r="AS99" s="135" t="str">
        <f t="shared" si="33"/>
        <v>2021_04_13_a</v>
      </c>
      <c r="AT99" s="136"/>
      <c r="AU99" s="135" t="str">
        <f t="shared" si="34"/>
        <v>2021</v>
      </c>
      <c r="AV99" s="135" t="str">
        <f t="shared" si="35"/>
        <v>04</v>
      </c>
      <c r="AW99" s="135" t="str">
        <f t="shared" si="36"/>
        <v>13</v>
      </c>
      <c r="AX99" s="135">
        <f t="shared" si="37"/>
        <v>44299</v>
      </c>
      <c r="AY99" s="137"/>
      <c r="AZ99" s="138">
        <f t="shared" si="38"/>
        <v>44299</v>
      </c>
      <c r="BA99" s="135" t="b">
        <f t="shared" si="39"/>
        <v>1</v>
      </c>
      <c r="BB99" s="135">
        <f t="shared" si="40"/>
        <v>44299</v>
      </c>
      <c r="BC99" s="135" t="str">
        <f t="shared" si="41"/>
        <v>no</v>
      </c>
      <c r="BD99" s="135" t="b">
        <f t="shared" si="42"/>
        <v>0</v>
      </c>
      <c r="BE99" s="139" t="s">
        <v>59</v>
      </c>
      <c r="BF99" s="136"/>
    </row>
    <row r="100" spans="2:58" s="126" customFormat="1" ht="154">
      <c r="B100" s="81" t="s">
        <v>317</v>
      </c>
      <c r="C100" s="472"/>
      <c r="D100" s="472" t="s">
        <v>318</v>
      </c>
      <c r="E100" s="472"/>
      <c r="F100" s="162" t="s">
        <v>288</v>
      </c>
      <c r="G100" s="163">
        <v>44172</v>
      </c>
      <c r="H100" s="167">
        <v>44305</v>
      </c>
      <c r="I100" s="163"/>
      <c r="J100" s="96">
        <v>44319</v>
      </c>
      <c r="K100" s="163"/>
      <c r="L100" s="163"/>
      <c r="M100" s="163"/>
      <c r="N100" s="163"/>
      <c r="O100" s="163"/>
      <c r="P100" s="163"/>
      <c r="Q100" s="164"/>
      <c r="R100" s="164"/>
      <c r="S100" s="165">
        <f t="shared" ref="S100:S114" si="102">U100+V100</f>
        <v>1</v>
      </c>
      <c r="T100" s="472">
        <v>1</v>
      </c>
      <c r="U100" s="472">
        <v>1</v>
      </c>
      <c r="V100" s="472">
        <v>0</v>
      </c>
      <c r="W100" s="164"/>
      <c r="X100" s="472"/>
      <c r="Y100" s="472"/>
      <c r="Z100" s="472" t="s">
        <v>52</v>
      </c>
      <c r="AA100" s="166"/>
      <c r="AB100" s="166"/>
      <c r="AC100" s="166"/>
      <c r="AD100" s="166"/>
      <c r="AE100" s="166"/>
      <c r="AF100" s="166"/>
      <c r="AG100" s="472" t="s">
        <v>85</v>
      </c>
      <c r="AH100" s="472"/>
      <c r="AI100" s="472"/>
      <c r="AJ100" s="472"/>
      <c r="AK100" s="472"/>
      <c r="AL100" s="472" t="s">
        <v>260</v>
      </c>
      <c r="AM100" s="472"/>
      <c r="AN100" s="472"/>
      <c r="AO100" s="472"/>
      <c r="AP100" s="472"/>
      <c r="AQ100" s="472"/>
      <c r="AR100" s="135">
        <f>COUNTIF(B:B,B100)</f>
        <v>1</v>
      </c>
      <c r="AS100" s="135" t="str">
        <f t="shared" si="33"/>
        <v>2021_04_19_a</v>
      </c>
      <c r="AT100" s="136"/>
      <c r="AU100" s="135" t="str">
        <f t="shared" si="34"/>
        <v>2021</v>
      </c>
      <c r="AV100" s="135" t="str">
        <f t="shared" si="35"/>
        <v>04</v>
      </c>
      <c r="AW100" s="135" t="str">
        <f t="shared" si="36"/>
        <v>19</v>
      </c>
      <c r="AX100" s="135">
        <f t="shared" si="37"/>
        <v>44305</v>
      </c>
      <c r="AY100" s="137"/>
      <c r="AZ100" s="138">
        <f t="shared" si="38"/>
        <v>44305</v>
      </c>
      <c r="BA100" s="135" t="b">
        <f t="shared" si="39"/>
        <v>1</v>
      </c>
      <c r="BB100" s="135">
        <f t="shared" si="40"/>
        <v>44305</v>
      </c>
      <c r="BC100" s="135" t="str">
        <f t="shared" si="41"/>
        <v>no</v>
      </c>
      <c r="BD100" s="135" t="b">
        <f t="shared" si="42"/>
        <v>0</v>
      </c>
      <c r="BE100" s="139" t="s">
        <v>59</v>
      </c>
      <c r="BF100" s="136"/>
    </row>
    <row r="101" spans="2:58" s="126" customFormat="1" ht="154">
      <c r="B101" s="485" t="s">
        <v>319</v>
      </c>
      <c r="C101" s="472"/>
      <c r="D101" s="472" t="s">
        <v>320</v>
      </c>
      <c r="E101" s="472"/>
      <c r="F101" s="162" t="s">
        <v>288</v>
      </c>
      <c r="G101" s="163">
        <v>44389</v>
      </c>
      <c r="H101" s="167">
        <v>44392</v>
      </c>
      <c r="I101" s="163"/>
      <c r="J101" s="167">
        <v>44404</v>
      </c>
      <c r="K101" s="163"/>
      <c r="L101" s="163"/>
      <c r="M101" s="163"/>
      <c r="N101" s="163"/>
      <c r="O101" s="163"/>
      <c r="P101" s="163"/>
      <c r="Q101" s="164"/>
      <c r="R101" s="164"/>
      <c r="S101" s="165">
        <f t="shared" si="102"/>
        <v>60</v>
      </c>
      <c r="T101" s="168">
        <v>60</v>
      </c>
      <c r="U101" s="168">
        <v>60</v>
      </c>
      <c r="V101" s="472">
        <v>0</v>
      </c>
      <c r="W101" s="164"/>
      <c r="X101" s="472"/>
      <c r="Y101" s="472"/>
      <c r="Z101" s="472" t="s">
        <v>52</v>
      </c>
      <c r="AA101" s="166"/>
      <c r="AB101" s="166"/>
      <c r="AC101" s="166"/>
      <c r="AD101" s="166"/>
      <c r="AE101" s="166"/>
      <c r="AF101" s="166"/>
      <c r="AG101" s="472" t="s">
        <v>85</v>
      </c>
      <c r="AH101" s="472"/>
      <c r="AI101" s="472"/>
      <c r="AJ101" s="472"/>
      <c r="AK101" s="472"/>
      <c r="AL101" s="472" t="s">
        <v>260</v>
      </c>
      <c r="AM101" s="472"/>
      <c r="AN101" s="472"/>
      <c r="AO101" s="472"/>
      <c r="AP101" s="472"/>
      <c r="AQ101" s="472"/>
      <c r="AR101" s="135">
        <f>COUNTIF(B:B,B101)</f>
        <v>1</v>
      </c>
      <c r="AS101" s="135" t="str">
        <f t="shared" si="33"/>
        <v>2021_07_15_a</v>
      </c>
      <c r="AT101" s="136"/>
      <c r="AU101" s="135" t="str">
        <f t="shared" si="34"/>
        <v>2021</v>
      </c>
      <c r="AV101" s="135" t="str">
        <f t="shared" si="35"/>
        <v>07</v>
      </c>
      <c r="AW101" s="135" t="str">
        <f t="shared" si="36"/>
        <v>15</v>
      </c>
      <c r="AX101" s="135">
        <f t="shared" si="37"/>
        <v>44392</v>
      </c>
      <c r="AY101" s="137"/>
      <c r="AZ101" s="138">
        <f t="shared" si="38"/>
        <v>44392</v>
      </c>
      <c r="BA101" s="135" t="b">
        <f t="shared" si="39"/>
        <v>1</v>
      </c>
      <c r="BB101" s="135">
        <f t="shared" si="40"/>
        <v>44392</v>
      </c>
      <c r="BC101" s="135" t="str">
        <f t="shared" si="41"/>
        <v>no</v>
      </c>
      <c r="BD101" s="135" t="b">
        <f t="shared" si="42"/>
        <v>0</v>
      </c>
      <c r="BE101" s="139" t="s">
        <v>59</v>
      </c>
      <c r="BF101" s="136"/>
    </row>
    <row r="102" spans="2:58" s="126" customFormat="1" ht="154">
      <c r="B102" s="472" t="s">
        <v>321</v>
      </c>
      <c r="C102" s="472"/>
      <c r="D102" s="472" t="s">
        <v>322</v>
      </c>
      <c r="E102" s="472"/>
      <c r="F102" s="162" t="s">
        <v>288</v>
      </c>
      <c r="G102" s="163">
        <v>44480</v>
      </c>
      <c r="H102" s="96">
        <v>44481</v>
      </c>
      <c r="I102" s="163"/>
      <c r="J102" s="96">
        <v>44492</v>
      </c>
      <c r="K102" s="163"/>
      <c r="L102" s="163"/>
      <c r="M102" s="163"/>
      <c r="N102" s="163"/>
      <c r="O102" s="163"/>
      <c r="P102" s="163"/>
      <c r="Q102" s="164"/>
      <c r="R102" s="164"/>
      <c r="S102" s="165">
        <f t="shared" si="102"/>
        <v>77</v>
      </c>
      <c r="T102" s="472">
        <v>77</v>
      </c>
      <c r="U102" s="472">
        <v>77</v>
      </c>
      <c r="V102" s="472">
        <v>0</v>
      </c>
      <c r="W102" s="164"/>
      <c r="X102" s="472"/>
      <c r="Y102" s="472"/>
      <c r="Z102" s="472" t="s">
        <v>52</v>
      </c>
      <c r="AA102" s="166"/>
      <c r="AB102" s="166"/>
      <c r="AC102" s="166"/>
      <c r="AD102" s="166"/>
      <c r="AE102" s="166"/>
      <c r="AF102" s="166"/>
      <c r="AG102" s="472" t="s">
        <v>85</v>
      </c>
      <c r="AH102" s="472"/>
      <c r="AI102" s="472"/>
      <c r="AJ102" s="472"/>
      <c r="AK102" s="472"/>
      <c r="AL102" s="472" t="s">
        <v>260</v>
      </c>
      <c r="AM102" s="472"/>
      <c r="AN102" s="472"/>
      <c r="AO102" s="472"/>
      <c r="AP102" s="472"/>
      <c r="AQ102" s="472"/>
      <c r="AR102" s="135">
        <f>COUNTIF(B:B,B102)</f>
        <v>1</v>
      </c>
      <c r="AS102" s="135" t="str">
        <f t="shared" si="33"/>
        <v>2021_10_12_a</v>
      </c>
      <c r="AT102" s="136"/>
      <c r="AU102" s="135" t="str">
        <f t="shared" si="34"/>
        <v>2021</v>
      </c>
      <c r="AV102" s="135" t="str">
        <f t="shared" si="35"/>
        <v>10</v>
      </c>
      <c r="AW102" s="135" t="str">
        <f t="shared" si="36"/>
        <v>12</v>
      </c>
      <c r="AX102" s="135">
        <f t="shared" si="37"/>
        <v>44481</v>
      </c>
      <c r="AY102" s="137"/>
      <c r="AZ102" s="138">
        <f t="shared" si="38"/>
        <v>44481</v>
      </c>
      <c r="BA102" s="135" t="b">
        <f t="shared" si="39"/>
        <v>1</v>
      </c>
      <c r="BB102" s="135">
        <f t="shared" si="40"/>
        <v>44481</v>
      </c>
      <c r="BC102" s="135" t="str">
        <f t="shared" si="41"/>
        <v>no</v>
      </c>
      <c r="BD102" s="135" t="b">
        <f t="shared" si="42"/>
        <v>0</v>
      </c>
      <c r="BE102" s="139" t="s">
        <v>59</v>
      </c>
      <c r="BF102" s="136"/>
    </row>
    <row r="103" spans="2:58" s="126" customFormat="1" ht="154">
      <c r="B103" s="472" t="s">
        <v>323</v>
      </c>
      <c r="C103" s="472"/>
      <c r="D103" s="472" t="s">
        <v>324</v>
      </c>
      <c r="E103" s="472"/>
      <c r="F103" s="162" t="s">
        <v>288</v>
      </c>
      <c r="G103" s="163">
        <v>44508</v>
      </c>
      <c r="H103" s="96">
        <v>44509</v>
      </c>
      <c r="I103" s="163"/>
      <c r="J103" s="96">
        <v>44520</v>
      </c>
      <c r="K103" s="163"/>
      <c r="L103" s="163"/>
      <c r="M103" s="163"/>
      <c r="N103" s="163"/>
      <c r="O103" s="163"/>
      <c r="P103" s="163"/>
      <c r="Q103" s="164"/>
      <c r="R103" s="164"/>
      <c r="S103" s="165">
        <f t="shared" si="102"/>
        <v>68</v>
      </c>
      <c r="T103" s="472">
        <v>68</v>
      </c>
      <c r="U103" s="472">
        <v>68</v>
      </c>
      <c r="V103" s="472">
        <v>0</v>
      </c>
      <c r="W103" s="164"/>
      <c r="X103" s="472"/>
      <c r="Y103" s="472"/>
      <c r="Z103" s="472" t="s">
        <v>52</v>
      </c>
      <c r="AA103" s="166"/>
      <c r="AB103" s="166"/>
      <c r="AC103" s="166"/>
      <c r="AD103" s="166"/>
      <c r="AE103" s="166"/>
      <c r="AF103" s="166"/>
      <c r="AG103" s="472" t="s">
        <v>85</v>
      </c>
      <c r="AH103" s="472"/>
      <c r="AI103" s="472"/>
      <c r="AJ103" s="472"/>
      <c r="AK103" s="472"/>
      <c r="AL103" s="472" t="s">
        <v>260</v>
      </c>
      <c r="AM103" s="472"/>
      <c r="AN103" s="472"/>
      <c r="AO103" s="472"/>
      <c r="AP103" s="472"/>
      <c r="AQ103" s="472"/>
      <c r="AR103" s="135">
        <f>COUNTIF(B:B,B103)</f>
        <v>1</v>
      </c>
      <c r="AS103" s="135" t="str">
        <f t="shared" si="33"/>
        <v>2021_11_09_a</v>
      </c>
      <c r="AT103" s="136"/>
      <c r="AU103" s="135" t="str">
        <f t="shared" si="34"/>
        <v>2021</v>
      </c>
      <c r="AV103" s="135" t="str">
        <f t="shared" si="35"/>
        <v>11</v>
      </c>
      <c r="AW103" s="135" t="str">
        <f t="shared" si="36"/>
        <v>09</v>
      </c>
      <c r="AX103" s="135">
        <f t="shared" si="37"/>
        <v>44509</v>
      </c>
      <c r="AY103" s="137"/>
      <c r="AZ103" s="138">
        <f t="shared" si="38"/>
        <v>44509</v>
      </c>
      <c r="BA103" s="135" t="b">
        <f t="shared" si="39"/>
        <v>1</v>
      </c>
      <c r="BB103" s="135">
        <f t="shared" si="40"/>
        <v>44509</v>
      </c>
      <c r="BC103" s="135" t="str">
        <f t="shared" si="41"/>
        <v>no</v>
      </c>
      <c r="BD103" s="135" t="b">
        <f t="shared" si="42"/>
        <v>0</v>
      </c>
      <c r="BE103" s="139" t="s">
        <v>59</v>
      </c>
      <c r="BF103" s="136"/>
    </row>
    <row r="104" spans="2:58" s="126" customFormat="1" ht="154">
      <c r="B104" s="472" t="s">
        <v>325</v>
      </c>
      <c r="C104" s="472"/>
      <c r="D104" s="472" t="s">
        <v>326</v>
      </c>
      <c r="E104" s="472"/>
      <c r="F104" s="162" t="s">
        <v>327</v>
      </c>
      <c r="G104" s="163" t="s">
        <v>328</v>
      </c>
      <c r="H104" s="96">
        <v>44515</v>
      </c>
      <c r="I104" s="163"/>
      <c r="J104" s="96">
        <v>44673</v>
      </c>
      <c r="K104" s="163"/>
      <c r="L104" s="163"/>
      <c r="M104" s="163"/>
      <c r="N104" s="163"/>
      <c r="O104" s="163"/>
      <c r="P104" s="163"/>
      <c r="Q104" s="164"/>
      <c r="R104" s="164"/>
      <c r="S104" s="165">
        <f t="shared" si="102"/>
        <v>1</v>
      </c>
      <c r="T104" s="472"/>
      <c r="U104" s="472">
        <v>1</v>
      </c>
      <c r="V104" s="472">
        <v>0</v>
      </c>
      <c r="W104" s="164"/>
      <c r="X104" s="472"/>
      <c r="Y104" s="472"/>
      <c r="Z104" s="472" t="s">
        <v>52</v>
      </c>
      <c r="AA104" s="166"/>
      <c r="AB104" s="166"/>
      <c r="AC104" s="166"/>
      <c r="AD104" s="166"/>
      <c r="AE104" s="166"/>
      <c r="AF104" s="166"/>
      <c r="AG104" s="472" t="s">
        <v>85</v>
      </c>
      <c r="AH104" s="472"/>
      <c r="AI104" s="472"/>
      <c r="AJ104" s="472"/>
      <c r="AK104" s="472"/>
      <c r="AL104" s="472" t="s">
        <v>57</v>
      </c>
      <c r="AM104" s="472"/>
      <c r="AN104" s="472" t="s">
        <v>329</v>
      </c>
      <c r="AO104" s="472"/>
      <c r="AP104" s="472"/>
      <c r="AQ104" s="472"/>
      <c r="AR104" s="135">
        <f>COUNTIF(B:B,B104)</f>
        <v>1</v>
      </c>
      <c r="AS104" s="135" t="str">
        <f t="shared" si="33"/>
        <v>2021_11_15_a</v>
      </c>
      <c r="AT104" s="136"/>
      <c r="AU104" s="135" t="str">
        <f t="shared" si="34"/>
        <v>2021</v>
      </c>
      <c r="AV104" s="135" t="str">
        <f t="shared" si="35"/>
        <v>11</v>
      </c>
      <c r="AW104" s="135" t="str">
        <f t="shared" si="36"/>
        <v>15</v>
      </c>
      <c r="AX104" s="135">
        <f t="shared" si="37"/>
        <v>44515</v>
      </c>
      <c r="AY104" s="137"/>
      <c r="AZ104" s="138">
        <f t="shared" si="38"/>
        <v>44515</v>
      </c>
      <c r="BA104" s="135" t="b">
        <f t="shared" si="39"/>
        <v>1</v>
      </c>
      <c r="BB104" s="135">
        <f t="shared" si="40"/>
        <v>44515</v>
      </c>
      <c r="BC104" s="135" t="str">
        <f t="shared" si="41"/>
        <v>no</v>
      </c>
      <c r="BD104" s="135" t="b">
        <f t="shared" si="42"/>
        <v>0</v>
      </c>
      <c r="BE104" s="139" t="s">
        <v>59</v>
      </c>
      <c r="BF104" s="136"/>
    </row>
    <row r="105" spans="2:58" s="126" customFormat="1" ht="154">
      <c r="B105" s="472" t="s">
        <v>330</v>
      </c>
      <c r="C105" s="472"/>
      <c r="D105" s="472" t="s">
        <v>331</v>
      </c>
      <c r="E105" s="472"/>
      <c r="F105" s="162" t="s">
        <v>288</v>
      </c>
      <c r="G105" s="163">
        <v>44627</v>
      </c>
      <c r="H105" s="96">
        <v>44628</v>
      </c>
      <c r="I105" s="163"/>
      <c r="J105" s="96">
        <v>44639</v>
      </c>
      <c r="K105" s="163"/>
      <c r="L105" s="163"/>
      <c r="M105" s="163"/>
      <c r="N105" s="163"/>
      <c r="O105" s="163"/>
      <c r="P105" s="163"/>
      <c r="Q105" s="164"/>
      <c r="R105" s="164"/>
      <c r="S105" s="165">
        <f t="shared" si="102"/>
        <v>60</v>
      </c>
      <c r="T105" s="472"/>
      <c r="U105" s="472">
        <v>60</v>
      </c>
      <c r="V105" s="472">
        <v>0</v>
      </c>
      <c r="W105" s="164"/>
      <c r="X105" s="472"/>
      <c r="Y105" s="472"/>
      <c r="Z105" s="472" t="s">
        <v>52</v>
      </c>
      <c r="AA105" s="166"/>
      <c r="AB105" s="166"/>
      <c r="AC105" s="166"/>
      <c r="AD105" s="166"/>
      <c r="AE105" s="166"/>
      <c r="AF105" s="166"/>
      <c r="AG105" s="472" t="s">
        <v>85</v>
      </c>
      <c r="AH105" s="472"/>
      <c r="AI105" s="472"/>
      <c r="AJ105" s="472"/>
      <c r="AK105" s="472"/>
      <c r="AL105" s="472" t="s">
        <v>260</v>
      </c>
      <c r="AM105" s="472"/>
      <c r="AN105" s="472"/>
      <c r="AO105" s="472"/>
      <c r="AP105" s="472"/>
      <c r="AQ105" s="472"/>
      <c r="AR105" s="135">
        <f>COUNTIF(B:B,B105)</f>
        <v>1</v>
      </c>
      <c r="AS105" s="135" t="str">
        <f t="shared" si="33"/>
        <v>2022_03_08_a</v>
      </c>
      <c r="AT105" s="136"/>
      <c r="AU105" s="135" t="str">
        <f t="shared" si="34"/>
        <v>2022</v>
      </c>
      <c r="AV105" s="135" t="str">
        <f t="shared" si="35"/>
        <v>03</v>
      </c>
      <c r="AW105" s="135" t="str">
        <f t="shared" si="36"/>
        <v>08</v>
      </c>
      <c r="AX105" s="135">
        <f t="shared" si="37"/>
        <v>44628</v>
      </c>
      <c r="AY105" s="137"/>
      <c r="AZ105" s="138">
        <f t="shared" si="38"/>
        <v>44628</v>
      </c>
      <c r="BA105" s="135" t="b">
        <f t="shared" si="39"/>
        <v>1</v>
      </c>
      <c r="BB105" s="135">
        <f t="shared" si="40"/>
        <v>44628</v>
      </c>
      <c r="BC105" s="135" t="str">
        <f t="shared" si="41"/>
        <v>no</v>
      </c>
      <c r="BD105" s="135" t="b">
        <f t="shared" si="42"/>
        <v>0</v>
      </c>
      <c r="BE105" s="139" t="s">
        <v>59</v>
      </c>
      <c r="BF105" s="136"/>
    </row>
    <row r="106" spans="2:58" s="126" customFormat="1" ht="154">
      <c r="B106" s="472" t="s">
        <v>332</v>
      </c>
      <c r="C106" s="472"/>
      <c r="D106" s="472" t="s">
        <v>333</v>
      </c>
      <c r="E106" s="472"/>
      <c r="F106" s="162" t="s">
        <v>327</v>
      </c>
      <c r="G106" s="163">
        <v>44501</v>
      </c>
      <c r="H106" s="96">
        <v>44650</v>
      </c>
      <c r="I106" s="163"/>
      <c r="J106" s="96">
        <v>44666</v>
      </c>
      <c r="K106" s="163"/>
      <c r="L106" s="163"/>
      <c r="M106" s="163"/>
      <c r="N106" s="163"/>
      <c r="O106" s="163"/>
      <c r="P106" s="163"/>
      <c r="Q106" s="164"/>
      <c r="R106" s="164"/>
      <c r="S106" s="165">
        <f t="shared" si="102"/>
        <v>5</v>
      </c>
      <c r="T106" s="472"/>
      <c r="U106" s="472">
        <v>5</v>
      </c>
      <c r="V106" s="472">
        <v>0</v>
      </c>
      <c r="W106" s="164"/>
      <c r="X106" s="472"/>
      <c r="Y106" s="472"/>
      <c r="Z106" s="472" t="s">
        <v>52</v>
      </c>
      <c r="AA106" s="166"/>
      <c r="AB106" s="166"/>
      <c r="AC106" s="166"/>
      <c r="AD106" s="166"/>
      <c r="AE106" s="166"/>
      <c r="AF106" s="166"/>
      <c r="AG106" s="472" t="s">
        <v>85</v>
      </c>
      <c r="AH106" s="472"/>
      <c r="AI106" s="472"/>
      <c r="AJ106" s="472"/>
      <c r="AK106" s="472"/>
      <c r="AL106" s="472" t="s">
        <v>260</v>
      </c>
      <c r="AM106" s="472"/>
      <c r="AN106" s="472" t="s">
        <v>329</v>
      </c>
      <c r="AO106" s="472"/>
      <c r="AP106" s="472"/>
      <c r="AQ106" s="472"/>
      <c r="AR106" s="135">
        <f>COUNTIF(B:B,B106)</f>
        <v>1</v>
      </c>
      <c r="AS106" s="135" t="str">
        <f t="shared" si="33"/>
        <v>2022_03_30_a</v>
      </c>
      <c r="AT106" s="136"/>
      <c r="AU106" s="135" t="str">
        <f t="shared" si="34"/>
        <v>2022</v>
      </c>
      <c r="AV106" s="135" t="str">
        <f t="shared" si="35"/>
        <v>03</v>
      </c>
      <c r="AW106" s="135" t="str">
        <f t="shared" si="36"/>
        <v>30</v>
      </c>
      <c r="AX106" s="135">
        <f t="shared" si="37"/>
        <v>44650</v>
      </c>
      <c r="AY106" s="137"/>
      <c r="AZ106" s="138">
        <f t="shared" si="38"/>
        <v>44650</v>
      </c>
      <c r="BA106" s="135" t="b">
        <f t="shared" si="39"/>
        <v>1</v>
      </c>
      <c r="BB106" s="135">
        <f t="shared" si="40"/>
        <v>44650</v>
      </c>
      <c r="BC106" s="135" t="str">
        <f t="shared" si="41"/>
        <v>no</v>
      </c>
      <c r="BD106" s="135" t="b">
        <f t="shared" si="42"/>
        <v>0</v>
      </c>
      <c r="BE106" s="139" t="s">
        <v>59</v>
      </c>
      <c r="BF106" s="136"/>
    </row>
    <row r="107" spans="2:58" s="126" customFormat="1" ht="154">
      <c r="B107" s="472" t="s">
        <v>334</v>
      </c>
      <c r="C107" s="472"/>
      <c r="D107" s="472" t="s">
        <v>335</v>
      </c>
      <c r="E107" s="472"/>
      <c r="F107" s="162" t="s">
        <v>327</v>
      </c>
      <c r="G107" s="163" t="s">
        <v>336</v>
      </c>
      <c r="H107" s="96">
        <v>44678</v>
      </c>
      <c r="I107" s="163"/>
      <c r="J107" s="96">
        <v>44690</v>
      </c>
      <c r="K107" s="163"/>
      <c r="L107" s="163"/>
      <c r="M107" s="163"/>
      <c r="N107" s="163"/>
      <c r="O107" s="163"/>
      <c r="P107" s="163"/>
      <c r="Q107" s="164"/>
      <c r="R107" s="164"/>
      <c r="S107" s="165">
        <f t="shared" si="102"/>
        <v>1</v>
      </c>
      <c r="T107" s="472"/>
      <c r="U107" s="472">
        <v>1</v>
      </c>
      <c r="V107" s="472">
        <v>0</v>
      </c>
      <c r="W107" s="164"/>
      <c r="X107" s="472"/>
      <c r="Y107" s="472"/>
      <c r="Z107" s="472" t="s">
        <v>52</v>
      </c>
      <c r="AA107" s="166"/>
      <c r="AB107" s="166"/>
      <c r="AC107" s="166"/>
      <c r="AD107" s="166"/>
      <c r="AE107" s="166"/>
      <c r="AF107" s="166"/>
      <c r="AG107" s="472" t="s">
        <v>85</v>
      </c>
      <c r="AH107" s="472"/>
      <c r="AI107" s="472"/>
      <c r="AJ107" s="472"/>
      <c r="AK107" s="472"/>
      <c r="AL107" s="472" t="s">
        <v>57</v>
      </c>
      <c r="AM107" s="472"/>
      <c r="AN107" s="472" t="s">
        <v>329</v>
      </c>
      <c r="AO107" s="472"/>
      <c r="AP107" s="472"/>
      <c r="AQ107" s="472"/>
      <c r="AR107" s="135">
        <f>COUNTIF(B:B,B107)</f>
        <v>1</v>
      </c>
      <c r="AS107" s="135" t="str">
        <f t="shared" si="33"/>
        <v>2022_04_27_a</v>
      </c>
      <c r="AT107" s="136"/>
      <c r="AU107" s="135" t="str">
        <f t="shared" si="34"/>
        <v>2022</v>
      </c>
      <c r="AV107" s="135" t="str">
        <f t="shared" si="35"/>
        <v>04</v>
      </c>
      <c r="AW107" s="135" t="str">
        <f t="shared" si="36"/>
        <v>27</v>
      </c>
      <c r="AX107" s="135">
        <f t="shared" si="37"/>
        <v>44678</v>
      </c>
      <c r="AY107" s="137"/>
      <c r="AZ107" s="138">
        <f t="shared" si="38"/>
        <v>44678</v>
      </c>
      <c r="BA107" s="135" t="b">
        <f t="shared" si="39"/>
        <v>1</v>
      </c>
      <c r="BB107" s="135">
        <f t="shared" si="40"/>
        <v>44678</v>
      </c>
      <c r="BC107" s="135" t="str">
        <f t="shared" si="41"/>
        <v>no</v>
      </c>
      <c r="BD107" s="135" t="b">
        <f t="shared" si="42"/>
        <v>0</v>
      </c>
      <c r="BE107" s="139" t="s">
        <v>59</v>
      </c>
      <c r="BF107" s="136"/>
    </row>
    <row r="108" spans="2:58" s="126" customFormat="1" ht="154">
      <c r="B108" s="472" t="s">
        <v>337</v>
      </c>
      <c r="C108" s="472"/>
      <c r="D108" s="472" t="s">
        <v>338</v>
      </c>
      <c r="E108" s="472"/>
      <c r="F108" s="162" t="s">
        <v>288</v>
      </c>
      <c r="G108" s="163">
        <v>44697</v>
      </c>
      <c r="H108" s="96">
        <v>44698</v>
      </c>
      <c r="I108" s="163"/>
      <c r="J108" s="96">
        <v>44709</v>
      </c>
      <c r="K108" s="163"/>
      <c r="L108" s="163"/>
      <c r="M108" s="163"/>
      <c r="N108" s="163"/>
      <c r="O108" s="163"/>
      <c r="P108" s="163"/>
      <c r="Q108" s="164"/>
      <c r="R108" s="164"/>
      <c r="S108" s="165">
        <f t="shared" si="102"/>
        <v>28</v>
      </c>
      <c r="T108" s="472"/>
      <c r="U108" s="472">
        <v>28</v>
      </c>
      <c r="V108" s="472">
        <v>0</v>
      </c>
      <c r="W108" s="164"/>
      <c r="X108" s="472"/>
      <c r="Y108" s="472"/>
      <c r="Z108" s="472" t="s">
        <v>52</v>
      </c>
      <c r="AA108" s="166"/>
      <c r="AB108" s="166"/>
      <c r="AC108" s="166"/>
      <c r="AD108" s="166"/>
      <c r="AE108" s="166"/>
      <c r="AF108" s="166"/>
      <c r="AG108" s="472" t="s">
        <v>85</v>
      </c>
      <c r="AH108" s="472"/>
      <c r="AI108" s="472"/>
      <c r="AJ108" s="472"/>
      <c r="AK108" s="472"/>
      <c r="AL108" s="472" t="s">
        <v>57</v>
      </c>
      <c r="AM108" s="472"/>
      <c r="AN108" s="472"/>
      <c r="AO108" s="472"/>
      <c r="AP108" s="472"/>
      <c r="AQ108" s="472"/>
      <c r="AR108" s="135">
        <f>COUNTIF(B:B,B108)</f>
        <v>1</v>
      </c>
      <c r="AS108" s="135" t="str">
        <f t="shared" si="33"/>
        <v>2022_05_17_a</v>
      </c>
      <c r="AT108" s="136"/>
      <c r="AU108" s="135" t="str">
        <f t="shared" si="34"/>
        <v>2022</v>
      </c>
      <c r="AV108" s="135" t="str">
        <f t="shared" si="35"/>
        <v>05</v>
      </c>
      <c r="AW108" s="135" t="str">
        <f t="shared" si="36"/>
        <v>17</v>
      </c>
      <c r="AX108" s="135">
        <f t="shared" si="37"/>
        <v>44698</v>
      </c>
      <c r="AY108" s="137"/>
      <c r="AZ108" s="138">
        <f t="shared" si="38"/>
        <v>44698</v>
      </c>
      <c r="BA108" s="135" t="b">
        <f t="shared" si="39"/>
        <v>1</v>
      </c>
      <c r="BB108" s="135">
        <f t="shared" si="40"/>
        <v>44698</v>
      </c>
      <c r="BC108" s="135" t="str">
        <f t="shared" si="41"/>
        <v>no</v>
      </c>
      <c r="BD108" s="135" t="b">
        <f t="shared" si="42"/>
        <v>0</v>
      </c>
      <c r="BE108" s="139" t="s">
        <v>59</v>
      </c>
      <c r="BF108" s="136"/>
    </row>
    <row r="109" spans="2:58" s="126" customFormat="1" ht="154">
      <c r="B109" s="472" t="s">
        <v>339</v>
      </c>
      <c r="C109" s="472"/>
      <c r="D109" s="472" t="s">
        <v>340</v>
      </c>
      <c r="E109" s="472"/>
      <c r="F109" s="162" t="s">
        <v>288</v>
      </c>
      <c r="G109" s="163" t="s">
        <v>341</v>
      </c>
      <c r="H109" s="96">
        <v>44761</v>
      </c>
      <c r="I109" s="163"/>
      <c r="J109" s="96">
        <v>44772</v>
      </c>
      <c r="K109" s="163"/>
      <c r="L109" s="163"/>
      <c r="M109" s="163"/>
      <c r="N109" s="163"/>
      <c r="O109" s="163"/>
      <c r="P109" s="163"/>
      <c r="Q109" s="164"/>
      <c r="R109" s="164"/>
      <c r="S109" s="165">
        <f t="shared" si="102"/>
        <v>47</v>
      </c>
      <c r="T109" s="472"/>
      <c r="U109" s="472">
        <v>47</v>
      </c>
      <c r="V109" s="472">
        <v>0</v>
      </c>
      <c r="W109" s="164"/>
      <c r="X109" s="472"/>
      <c r="Y109" s="472"/>
      <c r="Z109" s="472" t="s">
        <v>52</v>
      </c>
      <c r="AA109" s="166"/>
      <c r="AB109" s="166"/>
      <c r="AC109" s="166"/>
      <c r="AD109" s="166"/>
      <c r="AE109" s="166"/>
      <c r="AF109" s="166"/>
      <c r="AG109" s="472" t="s">
        <v>85</v>
      </c>
      <c r="AH109" s="472"/>
      <c r="AI109" s="472"/>
      <c r="AJ109" s="472"/>
      <c r="AK109" s="472"/>
      <c r="AL109" s="472" t="s">
        <v>57</v>
      </c>
      <c r="AM109" s="472"/>
      <c r="AN109" s="472"/>
      <c r="AO109" s="472"/>
      <c r="AP109" s="472"/>
      <c r="AQ109" s="472"/>
      <c r="AR109" s="135">
        <f>COUNTIF(B:B,B109)</f>
        <v>1</v>
      </c>
      <c r="AS109" s="135" t="str">
        <f t="shared" si="33"/>
        <v>2022_07_19_a</v>
      </c>
      <c r="AT109" s="136"/>
      <c r="AU109" s="135" t="str">
        <f t="shared" si="34"/>
        <v>2022</v>
      </c>
      <c r="AV109" s="135" t="str">
        <f t="shared" si="35"/>
        <v>07</v>
      </c>
      <c r="AW109" s="135" t="str">
        <f t="shared" si="36"/>
        <v>19</v>
      </c>
      <c r="AX109" s="135">
        <f t="shared" si="37"/>
        <v>44761</v>
      </c>
      <c r="AY109" s="137"/>
      <c r="AZ109" s="138">
        <f t="shared" si="38"/>
        <v>44761</v>
      </c>
      <c r="BA109" s="135" t="b">
        <f t="shared" si="39"/>
        <v>1</v>
      </c>
      <c r="BB109" s="135">
        <f t="shared" si="40"/>
        <v>44761</v>
      </c>
      <c r="BC109" s="135" t="str">
        <f t="shared" si="41"/>
        <v>no</v>
      </c>
      <c r="BD109" s="135" t="b">
        <f t="shared" si="42"/>
        <v>0</v>
      </c>
      <c r="BE109" s="139" t="s">
        <v>59</v>
      </c>
      <c r="BF109" s="136"/>
    </row>
    <row r="110" spans="2:58" s="126" customFormat="1" ht="154">
      <c r="B110" s="472" t="s">
        <v>342</v>
      </c>
      <c r="C110" s="472"/>
      <c r="D110" s="472" t="s">
        <v>343</v>
      </c>
      <c r="E110" s="472"/>
      <c r="F110" s="162" t="s">
        <v>288</v>
      </c>
      <c r="G110" s="163">
        <v>44790</v>
      </c>
      <c r="H110" s="96">
        <v>44791</v>
      </c>
      <c r="I110" s="163"/>
      <c r="J110" s="96">
        <v>44803</v>
      </c>
      <c r="K110" s="163"/>
      <c r="L110" s="163"/>
      <c r="M110" s="163"/>
      <c r="N110" s="163"/>
      <c r="O110" s="163"/>
      <c r="P110" s="163"/>
      <c r="Q110" s="164"/>
      <c r="R110" s="164"/>
      <c r="S110" s="165">
        <f t="shared" si="102"/>
        <v>64</v>
      </c>
      <c r="T110" s="472"/>
      <c r="U110" s="472">
        <v>64</v>
      </c>
      <c r="V110" s="472">
        <v>0</v>
      </c>
      <c r="W110" s="164"/>
      <c r="X110" s="472"/>
      <c r="Y110" s="472"/>
      <c r="Z110" s="472" t="s">
        <v>52</v>
      </c>
      <c r="AA110" s="166"/>
      <c r="AB110" s="166"/>
      <c r="AC110" s="166"/>
      <c r="AD110" s="166"/>
      <c r="AE110" s="166"/>
      <c r="AF110" s="166"/>
      <c r="AG110" s="472" t="s">
        <v>85</v>
      </c>
      <c r="AH110" s="472" t="s">
        <v>283</v>
      </c>
      <c r="AI110" s="472"/>
      <c r="AJ110" s="472"/>
      <c r="AK110" s="472"/>
      <c r="AL110" s="472" t="s">
        <v>57</v>
      </c>
      <c r="AM110" s="472"/>
      <c r="AN110" s="472"/>
      <c r="AO110" s="472"/>
      <c r="AP110" s="472"/>
      <c r="AQ110" s="472"/>
      <c r="AR110" s="135">
        <f>COUNTIF(B:B,B110)</f>
        <v>1</v>
      </c>
      <c r="AS110" s="135" t="str">
        <f t="shared" si="33"/>
        <v>2022_08_18_a</v>
      </c>
      <c r="AT110" s="136"/>
      <c r="AU110" s="135" t="str">
        <f t="shared" si="34"/>
        <v>2022</v>
      </c>
      <c r="AV110" s="135" t="str">
        <f t="shared" si="35"/>
        <v>08</v>
      </c>
      <c r="AW110" s="135" t="str">
        <f t="shared" si="36"/>
        <v>18</v>
      </c>
      <c r="AX110" s="135">
        <f t="shared" si="37"/>
        <v>44791</v>
      </c>
      <c r="AY110" s="137"/>
      <c r="AZ110" s="138">
        <f t="shared" si="38"/>
        <v>44791</v>
      </c>
      <c r="BA110" s="135" t="b">
        <f t="shared" si="39"/>
        <v>1</v>
      </c>
      <c r="BB110" s="135">
        <f t="shared" si="40"/>
        <v>44791</v>
      </c>
      <c r="BC110" s="135" t="str">
        <f t="shared" si="41"/>
        <v>no</v>
      </c>
      <c r="BD110" s="135" t="b">
        <f t="shared" si="42"/>
        <v>0</v>
      </c>
      <c r="BE110" s="139" t="s">
        <v>59</v>
      </c>
      <c r="BF110" s="136"/>
    </row>
    <row r="111" spans="2:58" s="126" customFormat="1" ht="93.75" customHeight="1">
      <c r="B111" s="472" t="s">
        <v>344</v>
      </c>
      <c r="C111" s="472"/>
      <c r="D111" s="472" t="s">
        <v>345</v>
      </c>
      <c r="E111" s="472"/>
      <c r="F111" s="162" t="s">
        <v>327</v>
      </c>
      <c r="G111" s="163">
        <v>44837</v>
      </c>
      <c r="H111" s="96">
        <v>44838</v>
      </c>
      <c r="I111" s="163"/>
      <c r="J111" s="96">
        <v>44849</v>
      </c>
      <c r="K111" s="163"/>
      <c r="L111" s="163"/>
      <c r="M111" s="163"/>
      <c r="N111" s="163"/>
      <c r="O111" s="163"/>
      <c r="P111" s="163"/>
      <c r="Q111" s="164"/>
      <c r="R111" s="164" t="s">
        <v>346</v>
      </c>
      <c r="S111" s="165">
        <f t="shared" si="102"/>
        <v>5</v>
      </c>
      <c r="T111" s="472"/>
      <c r="U111" s="472">
        <v>5</v>
      </c>
      <c r="V111" s="472">
        <v>0</v>
      </c>
      <c r="W111" s="164"/>
      <c r="X111" s="472"/>
      <c r="Y111" s="472"/>
      <c r="Z111" s="472" t="s">
        <v>52</v>
      </c>
      <c r="AA111" s="166"/>
      <c r="AB111" s="166"/>
      <c r="AC111" s="166"/>
      <c r="AD111" s="166"/>
      <c r="AE111" s="166"/>
      <c r="AF111" s="166"/>
      <c r="AG111" s="472" t="s">
        <v>85</v>
      </c>
      <c r="AH111" s="472" t="s">
        <v>86</v>
      </c>
      <c r="AI111" s="472"/>
      <c r="AJ111" s="472"/>
      <c r="AK111" s="472"/>
      <c r="AL111" s="472" t="s">
        <v>57</v>
      </c>
      <c r="AM111" s="472"/>
      <c r="AN111" s="472" t="s">
        <v>347</v>
      </c>
      <c r="AO111" s="472"/>
      <c r="AP111" s="472"/>
      <c r="AQ111" s="472"/>
      <c r="AR111" s="135">
        <f>COUNTIF(B:B,B111)</f>
        <v>1</v>
      </c>
      <c r="AS111" s="135" t="str">
        <f t="shared" si="33"/>
        <v>2022_10_04_a</v>
      </c>
      <c r="AT111" s="136"/>
      <c r="AU111" s="135" t="str">
        <f t="shared" si="34"/>
        <v>2022</v>
      </c>
      <c r="AV111" s="135" t="str">
        <f t="shared" si="35"/>
        <v>10</v>
      </c>
      <c r="AW111" s="135" t="str">
        <f t="shared" si="36"/>
        <v>04</v>
      </c>
      <c r="AX111" s="135">
        <f t="shared" si="37"/>
        <v>44838</v>
      </c>
      <c r="AY111" s="137"/>
      <c r="AZ111" s="138">
        <f t="shared" si="38"/>
        <v>44838</v>
      </c>
      <c r="BA111" s="135" t="b">
        <f t="shared" si="39"/>
        <v>1</v>
      </c>
      <c r="BB111" s="135">
        <f t="shared" si="40"/>
        <v>44838</v>
      </c>
      <c r="BC111" s="135" t="str">
        <f t="shared" si="41"/>
        <v>no</v>
      </c>
      <c r="BD111" s="135" t="b">
        <f t="shared" si="42"/>
        <v>0</v>
      </c>
      <c r="BE111" s="139" t="s">
        <v>59</v>
      </c>
      <c r="BF111" s="136"/>
    </row>
    <row r="112" spans="2:58" s="126" customFormat="1" ht="154">
      <c r="B112" s="472" t="s">
        <v>348</v>
      </c>
      <c r="C112" s="472"/>
      <c r="D112" s="472" t="s">
        <v>349</v>
      </c>
      <c r="E112" s="472"/>
      <c r="F112" s="162" t="s">
        <v>327</v>
      </c>
      <c r="G112" s="163">
        <v>44865</v>
      </c>
      <c r="H112" s="96">
        <v>44866</v>
      </c>
      <c r="I112" s="163"/>
      <c r="J112" s="96">
        <v>44877</v>
      </c>
      <c r="K112" s="163"/>
      <c r="L112" s="163"/>
      <c r="M112" s="163"/>
      <c r="N112" s="163"/>
      <c r="O112" s="163"/>
      <c r="P112" s="163"/>
      <c r="Q112" s="164"/>
      <c r="R112" s="164" t="s">
        <v>350</v>
      </c>
      <c r="S112" s="165">
        <f t="shared" si="102"/>
        <v>53</v>
      </c>
      <c r="T112" s="472"/>
      <c r="U112" s="472">
        <v>53</v>
      </c>
      <c r="V112" s="472">
        <v>0</v>
      </c>
      <c r="W112" s="164"/>
      <c r="X112" s="472"/>
      <c r="Y112" s="472"/>
      <c r="Z112" s="472" t="s">
        <v>52</v>
      </c>
      <c r="AA112" s="166"/>
      <c r="AB112" s="166"/>
      <c r="AC112" s="166"/>
      <c r="AD112" s="166"/>
      <c r="AE112" s="166"/>
      <c r="AF112" s="166"/>
      <c r="AG112" s="472" t="s">
        <v>85</v>
      </c>
      <c r="AH112" s="472" t="s">
        <v>283</v>
      </c>
      <c r="AI112" s="472"/>
      <c r="AJ112" s="472"/>
      <c r="AK112" s="472"/>
      <c r="AL112" s="472" t="s">
        <v>57</v>
      </c>
      <c r="AM112" s="472"/>
      <c r="AN112" s="472"/>
      <c r="AO112" s="472"/>
      <c r="AP112" s="472"/>
      <c r="AQ112" s="472"/>
      <c r="AR112" s="135">
        <f>COUNTIF(B:B,B112)</f>
        <v>1</v>
      </c>
      <c r="AS112" s="135" t="str">
        <f t="shared" si="33"/>
        <v>2022_11_01_a</v>
      </c>
      <c r="AT112" s="136"/>
      <c r="AU112" s="135" t="str">
        <f t="shared" si="34"/>
        <v>2022</v>
      </c>
      <c r="AV112" s="135" t="str">
        <f t="shared" si="35"/>
        <v>11</v>
      </c>
      <c r="AW112" s="135" t="str">
        <f t="shared" si="36"/>
        <v>01</v>
      </c>
      <c r="AX112" s="135">
        <f t="shared" si="37"/>
        <v>44866</v>
      </c>
      <c r="AY112" s="137"/>
      <c r="AZ112" s="138">
        <f t="shared" si="38"/>
        <v>44866</v>
      </c>
      <c r="BA112" s="135" t="b">
        <f t="shared" si="39"/>
        <v>1</v>
      </c>
      <c r="BB112" s="135">
        <f t="shared" si="40"/>
        <v>44866</v>
      </c>
      <c r="BC112" s="135" t="str">
        <f t="shared" si="41"/>
        <v>no</v>
      </c>
      <c r="BD112" s="135" t="b">
        <f t="shared" si="42"/>
        <v>0</v>
      </c>
      <c r="BE112" s="139" t="s">
        <v>59</v>
      </c>
      <c r="BF112" s="136"/>
    </row>
    <row r="113" spans="1:58" s="126" customFormat="1" ht="154">
      <c r="A113" s="472"/>
      <c r="B113" s="472" t="s">
        <v>351</v>
      </c>
      <c r="C113" s="472"/>
      <c r="D113" s="472" t="s">
        <v>281</v>
      </c>
      <c r="E113" s="472"/>
      <c r="F113" s="162" t="s">
        <v>327</v>
      </c>
      <c r="G113" s="163">
        <v>44872</v>
      </c>
      <c r="H113" s="96">
        <v>44894</v>
      </c>
      <c r="I113" s="163"/>
      <c r="J113" s="96">
        <v>44905</v>
      </c>
      <c r="K113" s="163"/>
      <c r="L113" s="163"/>
      <c r="M113" s="163"/>
      <c r="N113" s="163"/>
      <c r="O113" s="163"/>
      <c r="P113" s="163"/>
      <c r="Q113" s="164"/>
      <c r="R113" s="164" t="s">
        <v>352</v>
      </c>
      <c r="S113" s="165">
        <f t="shared" si="102"/>
        <v>6</v>
      </c>
      <c r="T113" s="472"/>
      <c r="U113" s="472">
        <v>6</v>
      </c>
      <c r="V113" s="472">
        <v>0</v>
      </c>
      <c r="W113" s="164"/>
      <c r="X113" s="472"/>
      <c r="Y113" s="472"/>
      <c r="Z113" s="472" t="s">
        <v>52</v>
      </c>
      <c r="AA113" s="166"/>
      <c r="AB113" s="166"/>
      <c r="AC113" s="166"/>
      <c r="AD113" s="166"/>
      <c r="AE113" s="166"/>
      <c r="AF113" s="166"/>
      <c r="AG113" s="472" t="s">
        <v>85</v>
      </c>
      <c r="AH113" s="472" t="s">
        <v>283</v>
      </c>
      <c r="AI113" s="472"/>
      <c r="AJ113" s="472"/>
      <c r="AK113" s="472"/>
      <c r="AL113" s="472" t="s">
        <v>57</v>
      </c>
      <c r="AM113" s="472"/>
      <c r="AN113" s="472" t="s">
        <v>353</v>
      </c>
      <c r="AO113" s="472"/>
      <c r="AP113" s="472"/>
      <c r="AQ113" s="472"/>
      <c r="AR113" s="135">
        <f>COUNTIF(B:B,B113)</f>
        <v>1</v>
      </c>
      <c r="AS113" s="135" t="str">
        <f t="shared" si="33"/>
        <v>2022_11_29_a</v>
      </c>
      <c r="AT113" s="136"/>
      <c r="AU113" s="135" t="str">
        <f t="shared" si="34"/>
        <v>2022</v>
      </c>
      <c r="AV113" s="135" t="str">
        <f t="shared" si="35"/>
        <v>11</v>
      </c>
      <c r="AW113" s="135" t="str">
        <f t="shared" si="36"/>
        <v>29</v>
      </c>
      <c r="AX113" s="135">
        <f t="shared" si="37"/>
        <v>44894</v>
      </c>
      <c r="AY113" s="137"/>
      <c r="AZ113" s="138">
        <f t="shared" si="38"/>
        <v>44894</v>
      </c>
      <c r="BA113" s="135" t="b">
        <f t="shared" si="39"/>
        <v>1</v>
      </c>
      <c r="BB113" s="135">
        <f t="shared" si="40"/>
        <v>44894</v>
      </c>
      <c r="BC113" s="135" t="str">
        <f t="shared" si="41"/>
        <v>no</v>
      </c>
      <c r="BD113" s="135" t="b">
        <f t="shared" si="42"/>
        <v>0</v>
      </c>
      <c r="BE113" s="139" t="s">
        <v>59</v>
      </c>
      <c r="BF113" s="136"/>
    </row>
    <row r="114" spans="1:58" s="126" customFormat="1" ht="84.75" customHeight="1">
      <c r="A114" s="472"/>
      <c r="B114" s="472" t="s">
        <v>354</v>
      </c>
      <c r="C114" s="472"/>
      <c r="D114" s="472" t="s">
        <v>355</v>
      </c>
      <c r="E114" s="472"/>
      <c r="F114" s="162" t="s">
        <v>327</v>
      </c>
      <c r="G114" s="163">
        <v>44895</v>
      </c>
      <c r="H114" s="96">
        <v>44963</v>
      </c>
      <c r="I114" s="163"/>
      <c r="J114" s="96">
        <v>44975</v>
      </c>
      <c r="K114" s="163"/>
      <c r="L114" s="163"/>
      <c r="M114" s="163"/>
      <c r="N114" s="163"/>
      <c r="O114" s="163"/>
      <c r="P114" s="163"/>
      <c r="Q114" s="164"/>
      <c r="R114" s="164" t="s">
        <v>356</v>
      </c>
      <c r="S114" s="165">
        <f t="shared" si="102"/>
        <v>1</v>
      </c>
      <c r="T114" s="472"/>
      <c r="U114" s="472">
        <v>1</v>
      </c>
      <c r="V114" s="472">
        <v>0</v>
      </c>
      <c r="W114" s="164"/>
      <c r="X114" s="472"/>
      <c r="Y114" s="472"/>
      <c r="Z114" s="472" t="s">
        <v>52</v>
      </c>
      <c r="AA114" s="166"/>
      <c r="AB114" s="166"/>
      <c r="AC114" s="166"/>
      <c r="AD114" s="166"/>
      <c r="AE114" s="166"/>
      <c r="AF114" s="166"/>
      <c r="AG114" s="472" t="s">
        <v>85</v>
      </c>
      <c r="AH114" s="472" t="s">
        <v>283</v>
      </c>
      <c r="AI114" s="472"/>
      <c r="AJ114" s="472"/>
      <c r="AK114" s="472"/>
      <c r="AL114" s="472" t="s">
        <v>57</v>
      </c>
      <c r="AM114" s="472"/>
      <c r="AN114" s="472" t="s">
        <v>357</v>
      </c>
      <c r="AO114" s="472"/>
      <c r="AP114" s="472"/>
      <c r="AQ114" s="472"/>
      <c r="AR114" s="135">
        <f>COUNTIF(B:B,B114)</f>
        <v>1</v>
      </c>
      <c r="AS114" s="135" t="str">
        <f t="shared" si="33"/>
        <v>2023_02_06_a</v>
      </c>
      <c r="AT114" s="136"/>
      <c r="AU114" s="135" t="str">
        <f t="shared" si="34"/>
        <v>2023</v>
      </c>
      <c r="AV114" s="135" t="str">
        <f t="shared" si="35"/>
        <v>02</v>
      </c>
      <c r="AW114" s="135" t="str">
        <f t="shared" si="36"/>
        <v>06</v>
      </c>
      <c r="AX114" s="135">
        <f t="shared" si="37"/>
        <v>44963</v>
      </c>
      <c r="AY114" s="137"/>
      <c r="AZ114" s="138">
        <f t="shared" si="38"/>
        <v>44963</v>
      </c>
      <c r="BA114" s="135" t="b">
        <f t="shared" si="39"/>
        <v>1</v>
      </c>
      <c r="BB114" s="135">
        <f t="shared" si="40"/>
        <v>44963</v>
      </c>
      <c r="BC114" s="135" t="str">
        <f t="shared" si="41"/>
        <v>no</v>
      </c>
      <c r="BD114" s="135" t="b">
        <f t="shared" si="42"/>
        <v>0</v>
      </c>
      <c r="BE114" s="139" t="s">
        <v>59</v>
      </c>
      <c r="BF114" s="136"/>
    </row>
    <row r="115" spans="1:58" s="126" customFormat="1" ht="84.75" customHeight="1">
      <c r="A115" s="472"/>
      <c r="B115" s="472" t="s">
        <v>358</v>
      </c>
      <c r="C115" s="472"/>
      <c r="D115" s="472"/>
      <c r="E115" s="472"/>
      <c r="F115" s="162" t="s">
        <v>327</v>
      </c>
      <c r="G115" s="163">
        <v>44984</v>
      </c>
      <c r="H115" s="96">
        <v>44986</v>
      </c>
      <c r="I115" s="163"/>
      <c r="J115" s="96">
        <v>44996</v>
      </c>
      <c r="K115" s="163"/>
      <c r="L115" s="163"/>
      <c r="M115" s="163"/>
      <c r="N115" s="163"/>
      <c r="O115" s="163"/>
      <c r="P115" s="163"/>
      <c r="Q115" s="164"/>
      <c r="R115" s="164"/>
      <c r="S115" s="165"/>
      <c r="T115" s="472"/>
      <c r="U115" s="472"/>
      <c r="V115" s="472"/>
      <c r="W115" s="164"/>
      <c r="X115" s="472"/>
      <c r="Y115" s="472"/>
      <c r="Z115" s="472"/>
      <c r="AA115" s="166"/>
      <c r="AB115" s="166"/>
      <c r="AC115" s="166"/>
      <c r="AD115" s="166"/>
      <c r="AE115" s="166"/>
      <c r="AF115" s="166"/>
      <c r="AG115" s="472" t="s">
        <v>85</v>
      </c>
      <c r="AH115" s="472"/>
      <c r="AI115" s="472"/>
      <c r="AJ115" s="472"/>
      <c r="AK115" s="472"/>
      <c r="AL115" s="472"/>
      <c r="AM115" s="472"/>
      <c r="AN115" s="472"/>
      <c r="AO115" s="472"/>
      <c r="AP115" s="472"/>
      <c r="AQ115" s="472"/>
      <c r="AR115" s="135">
        <f>COUNTIF(B:B,B115)</f>
        <v>1</v>
      </c>
      <c r="AS115" s="135" t="str">
        <f t="shared" si="33"/>
        <v>2023_03_01_a</v>
      </c>
      <c r="AT115" s="136"/>
      <c r="AU115" s="135" t="str">
        <f t="shared" si="34"/>
        <v>2023</v>
      </c>
      <c r="AV115" s="135" t="str">
        <f t="shared" si="35"/>
        <v>03</v>
      </c>
      <c r="AW115" s="135" t="str">
        <f t="shared" si="36"/>
        <v>01</v>
      </c>
      <c r="AX115" s="135">
        <f t="shared" si="37"/>
        <v>44986</v>
      </c>
      <c r="AY115" s="137"/>
      <c r="AZ115" s="138">
        <f t="shared" si="38"/>
        <v>44986</v>
      </c>
      <c r="BA115" s="135" t="b">
        <f t="shared" si="39"/>
        <v>1</v>
      </c>
      <c r="BB115" s="135">
        <f t="shared" si="40"/>
        <v>44986</v>
      </c>
      <c r="BC115" s="135" t="str">
        <f t="shared" si="41"/>
        <v>no</v>
      </c>
      <c r="BD115" s="135" t="b">
        <f t="shared" si="42"/>
        <v>1</v>
      </c>
      <c r="BE115" s="139" t="s">
        <v>59</v>
      </c>
      <c r="BF115" s="136"/>
    </row>
    <row r="116" spans="1:58" s="126" customFormat="1" ht="84.75" customHeight="1">
      <c r="A116" s="472"/>
      <c r="B116" s="472" t="s">
        <v>359</v>
      </c>
      <c r="C116" s="472"/>
      <c r="D116" s="472"/>
      <c r="E116" s="472"/>
      <c r="F116" s="162" t="s">
        <v>327</v>
      </c>
      <c r="G116" s="163">
        <v>45054</v>
      </c>
      <c r="H116" s="96">
        <v>45055</v>
      </c>
      <c r="I116" s="163"/>
      <c r="J116" s="96">
        <v>45066</v>
      </c>
      <c r="K116" s="163"/>
      <c r="L116" s="163"/>
      <c r="M116" s="163"/>
      <c r="N116" s="163"/>
      <c r="O116" s="163"/>
      <c r="P116" s="163"/>
      <c r="Q116" s="164"/>
      <c r="R116" s="164"/>
      <c r="S116" s="165"/>
      <c r="T116" s="472"/>
      <c r="U116" s="472"/>
      <c r="V116" s="472"/>
      <c r="W116" s="164"/>
      <c r="X116" s="472"/>
      <c r="Y116" s="472"/>
      <c r="Z116" s="472"/>
      <c r="AA116" s="166"/>
      <c r="AB116" s="166"/>
      <c r="AC116" s="166"/>
      <c r="AD116" s="166"/>
      <c r="AE116" s="166"/>
      <c r="AF116" s="166"/>
      <c r="AG116" s="472" t="s">
        <v>85</v>
      </c>
      <c r="AH116" s="472"/>
      <c r="AI116" s="472"/>
      <c r="AJ116" s="472"/>
      <c r="AK116" s="472"/>
      <c r="AL116" s="472"/>
      <c r="AM116" s="472"/>
      <c r="AN116" s="472"/>
      <c r="AO116" s="472"/>
      <c r="AP116" s="472"/>
      <c r="AQ116" s="472"/>
      <c r="AR116" s="135">
        <f>COUNTIF(B:B,B116)</f>
        <v>1</v>
      </c>
      <c r="AS116" s="135" t="str">
        <f t="shared" si="33"/>
        <v>2023_05_09_a</v>
      </c>
      <c r="AT116" s="136"/>
      <c r="AU116" s="135" t="str">
        <f t="shared" si="34"/>
        <v>2023</v>
      </c>
      <c r="AV116" s="135" t="str">
        <f t="shared" si="35"/>
        <v>05</v>
      </c>
      <c r="AW116" s="135" t="str">
        <f t="shared" si="36"/>
        <v>09</v>
      </c>
      <c r="AX116" s="135">
        <f t="shared" si="37"/>
        <v>45055</v>
      </c>
      <c r="AY116" s="137"/>
      <c r="AZ116" s="138">
        <f t="shared" si="38"/>
        <v>45055</v>
      </c>
      <c r="BA116" s="135" t="b">
        <f t="shared" si="39"/>
        <v>1</v>
      </c>
      <c r="BB116" s="135">
        <f t="shared" si="40"/>
        <v>45055</v>
      </c>
      <c r="BC116" s="135" t="str">
        <f t="shared" si="41"/>
        <v>no</v>
      </c>
      <c r="BD116" s="135" t="b">
        <f t="shared" si="42"/>
        <v>1</v>
      </c>
      <c r="BE116" s="139" t="s">
        <v>59</v>
      </c>
      <c r="BF116" s="136"/>
    </row>
    <row r="117" spans="1:58" s="126" customFormat="1" ht="84.75" customHeight="1">
      <c r="A117" s="472"/>
      <c r="B117" s="472" t="s">
        <v>360</v>
      </c>
      <c r="C117" s="472"/>
      <c r="D117" s="472"/>
      <c r="E117" s="472"/>
      <c r="F117" s="162" t="s">
        <v>327</v>
      </c>
      <c r="G117" s="163">
        <v>45131</v>
      </c>
      <c r="H117" s="96">
        <v>45132</v>
      </c>
      <c r="I117" s="163"/>
      <c r="J117" s="96">
        <v>45143</v>
      </c>
      <c r="K117" s="163"/>
      <c r="L117" s="163"/>
      <c r="M117" s="163"/>
      <c r="N117" s="163"/>
      <c r="O117" s="163"/>
      <c r="P117" s="163"/>
      <c r="Q117" s="164"/>
      <c r="R117" s="164"/>
      <c r="S117" s="165"/>
      <c r="T117" s="472"/>
      <c r="U117" s="472"/>
      <c r="V117" s="472"/>
      <c r="W117" s="164"/>
      <c r="X117" s="472"/>
      <c r="Y117" s="472"/>
      <c r="Z117" s="472"/>
      <c r="AA117" s="166"/>
      <c r="AB117" s="166"/>
      <c r="AC117" s="166"/>
      <c r="AD117" s="166"/>
      <c r="AE117" s="166"/>
      <c r="AF117" s="166"/>
      <c r="AG117" s="472" t="s">
        <v>85</v>
      </c>
      <c r="AH117" s="472"/>
      <c r="AI117" s="472"/>
      <c r="AJ117" s="472"/>
      <c r="AK117" s="472"/>
      <c r="AL117" s="472"/>
      <c r="AM117" s="472"/>
      <c r="AN117" s="472"/>
      <c r="AO117" s="472"/>
      <c r="AP117" s="472"/>
      <c r="AQ117" s="472"/>
      <c r="AR117" s="135">
        <f>COUNTIF(B:B,B117)</f>
        <v>1</v>
      </c>
      <c r="AS117" s="135" t="str">
        <f t="shared" si="33"/>
        <v>2023_07_25_a</v>
      </c>
      <c r="AT117" s="136"/>
      <c r="AU117" s="135" t="str">
        <f t="shared" si="34"/>
        <v>2023</v>
      </c>
      <c r="AV117" s="135" t="str">
        <f t="shared" si="35"/>
        <v>07</v>
      </c>
      <c r="AW117" s="135" t="str">
        <f t="shared" si="36"/>
        <v>25</v>
      </c>
      <c r="AX117" s="135">
        <f t="shared" si="37"/>
        <v>45132</v>
      </c>
      <c r="AY117" s="137"/>
      <c r="AZ117" s="138">
        <f t="shared" si="38"/>
        <v>45132</v>
      </c>
      <c r="BA117" s="135" t="b">
        <f t="shared" si="39"/>
        <v>1</v>
      </c>
      <c r="BB117" s="135">
        <f t="shared" si="40"/>
        <v>45132</v>
      </c>
      <c r="BC117" s="135" t="str">
        <f t="shared" si="41"/>
        <v>no</v>
      </c>
      <c r="BD117" s="135" t="b">
        <f t="shared" si="42"/>
        <v>1</v>
      </c>
      <c r="BE117" s="139" t="s">
        <v>59</v>
      </c>
      <c r="BF117" s="136"/>
    </row>
    <row r="118" spans="1:58" s="126" customFormat="1" ht="84.75" customHeight="1">
      <c r="A118" s="472"/>
      <c r="B118" s="472" t="s">
        <v>361</v>
      </c>
      <c r="C118" s="472"/>
      <c r="D118" s="472"/>
      <c r="E118" s="472"/>
      <c r="F118" s="162" t="s">
        <v>327</v>
      </c>
      <c r="G118" s="163">
        <v>45215</v>
      </c>
      <c r="H118" s="96">
        <v>45216</v>
      </c>
      <c r="I118" s="163"/>
      <c r="J118" s="96">
        <v>45227</v>
      </c>
      <c r="K118" s="163"/>
      <c r="L118" s="163"/>
      <c r="M118" s="163"/>
      <c r="N118" s="163"/>
      <c r="O118" s="163"/>
      <c r="P118" s="163"/>
      <c r="Q118" s="164"/>
      <c r="R118" s="164"/>
      <c r="S118" s="165"/>
      <c r="T118" s="472"/>
      <c r="U118" s="472"/>
      <c r="V118" s="472"/>
      <c r="W118" s="164"/>
      <c r="X118" s="472"/>
      <c r="Y118" s="472"/>
      <c r="Z118" s="472"/>
      <c r="AA118" s="166"/>
      <c r="AB118" s="166"/>
      <c r="AC118" s="166"/>
      <c r="AD118" s="166"/>
      <c r="AE118" s="166"/>
      <c r="AF118" s="166"/>
      <c r="AG118" s="472" t="s">
        <v>85</v>
      </c>
      <c r="AH118" s="472"/>
      <c r="AI118" s="472"/>
      <c r="AJ118" s="472"/>
      <c r="AK118" s="472"/>
      <c r="AL118" s="472"/>
      <c r="AM118" s="472"/>
      <c r="AN118" s="472"/>
      <c r="AO118" s="472"/>
      <c r="AP118" s="472"/>
      <c r="AQ118" s="472"/>
      <c r="AR118" s="135">
        <f>COUNTIF(B:B,B118)</f>
        <v>1</v>
      </c>
      <c r="AS118" s="135" t="str">
        <f t="shared" si="33"/>
        <v>2023_10_17_a</v>
      </c>
      <c r="AT118" s="136"/>
      <c r="AU118" s="135" t="str">
        <f t="shared" si="34"/>
        <v>2023</v>
      </c>
      <c r="AV118" s="135" t="str">
        <f t="shared" si="35"/>
        <v>10</v>
      </c>
      <c r="AW118" s="135" t="str">
        <f t="shared" si="36"/>
        <v>17</v>
      </c>
      <c r="AX118" s="135">
        <f t="shared" si="37"/>
        <v>45216</v>
      </c>
      <c r="AY118" s="137"/>
      <c r="AZ118" s="138">
        <f t="shared" si="38"/>
        <v>45216</v>
      </c>
      <c r="BA118" s="135" t="b">
        <f t="shared" si="39"/>
        <v>1</v>
      </c>
      <c r="BB118" s="135">
        <f t="shared" si="40"/>
        <v>45216</v>
      </c>
      <c r="BC118" s="135" t="str">
        <f t="shared" si="41"/>
        <v>no</v>
      </c>
      <c r="BD118" s="135" t="b">
        <f t="shared" si="42"/>
        <v>1</v>
      </c>
      <c r="BE118" s="139" t="s">
        <v>59</v>
      </c>
      <c r="BF118" s="136"/>
    </row>
    <row r="119" spans="1:58" s="170" customFormat="1" ht="154" customHeight="1">
      <c r="A119" s="485"/>
      <c r="B119" s="472"/>
      <c r="C119" s="485"/>
      <c r="D119" s="485"/>
      <c r="E119" s="485"/>
      <c r="F119" s="492" t="s">
        <v>362</v>
      </c>
      <c r="G119" s="493"/>
      <c r="H119" s="493"/>
      <c r="I119" s="493"/>
      <c r="J119" s="493"/>
      <c r="K119" s="493"/>
      <c r="L119" s="493"/>
      <c r="M119" s="493"/>
      <c r="N119" s="493"/>
      <c r="O119" s="493"/>
      <c r="P119" s="493"/>
      <c r="Q119" s="493"/>
      <c r="R119" s="493"/>
      <c r="S119" s="472">
        <v>123</v>
      </c>
      <c r="T119" s="472">
        <v>123</v>
      </c>
      <c r="U119" s="472">
        <f>SUMIFS(U81:U97, Z81:Z97, "=Complete")</f>
        <v>133</v>
      </c>
      <c r="V119" s="472">
        <f>SUMIFS(V81:V97, Z81:Z97, "=Complete")</f>
        <v>794</v>
      </c>
      <c r="W119" s="472"/>
      <c r="X119" s="472"/>
      <c r="Y119" s="472"/>
      <c r="Z119" s="472"/>
      <c r="AA119" s="472">
        <f>COUNTIFS(AA81:AA95, "=Complete")</f>
        <v>0</v>
      </c>
      <c r="AB119" s="472"/>
      <c r="AC119" s="472"/>
      <c r="AD119" s="472"/>
      <c r="AE119" s="472"/>
      <c r="AF119" s="472"/>
      <c r="AG119" s="472">
        <f>COUNTIFS(AG81:AG95, "=Legacy")</f>
        <v>0</v>
      </c>
      <c r="AH119" s="472">
        <f>COUNTIFS(AH81:AH95, "=Virtual")</f>
        <v>6</v>
      </c>
      <c r="AI119" s="472"/>
      <c r="AJ119" s="472"/>
      <c r="AK119" s="472"/>
      <c r="AL119" s="472"/>
      <c r="AM119" s="472"/>
      <c r="AN119" s="472"/>
      <c r="AO119" s="82"/>
      <c r="AP119" s="82"/>
      <c r="AQ119" s="82"/>
      <c r="AR119" s="135">
        <f>COUNTIF(B:B,B119)</f>
        <v>0</v>
      </c>
      <c r="AS119" s="135">
        <f t="shared" si="33"/>
        <v>0</v>
      </c>
      <c r="AT119" s="136"/>
      <c r="AU119" s="135" t="str">
        <f t="shared" si="34"/>
        <v>0</v>
      </c>
      <c r="AV119" s="135" t="str">
        <f t="shared" si="35"/>
        <v/>
      </c>
      <c r="AW119" s="135" t="str">
        <f t="shared" si="36"/>
        <v/>
      </c>
      <c r="AX119" s="135" t="str">
        <f t="shared" si="37"/>
        <v xml:space="preserve"> </v>
      </c>
      <c r="AY119" s="137"/>
      <c r="AZ119" s="138">
        <f t="shared" si="38"/>
        <v>0</v>
      </c>
      <c r="BA119" s="135" t="str">
        <f t="shared" si="39"/>
        <v xml:space="preserve"> </v>
      </c>
      <c r="BB119" s="135">
        <f t="shared" si="40"/>
        <v>0</v>
      </c>
      <c r="BC119" s="135" t="str">
        <f t="shared" si="41"/>
        <v>no</v>
      </c>
      <c r="BD119" s="135" t="b">
        <f t="shared" si="42"/>
        <v>0</v>
      </c>
      <c r="BE119" s="139" t="s">
        <v>59</v>
      </c>
      <c r="BF119" s="136"/>
    </row>
    <row r="120" spans="1:58" s="126" customFormat="1" ht="154">
      <c r="A120" s="472"/>
      <c r="B120" s="472"/>
      <c r="C120" s="472"/>
      <c r="D120" s="472"/>
      <c r="E120" s="472"/>
      <c r="F120" s="492" t="s">
        <v>363</v>
      </c>
      <c r="G120" s="492"/>
      <c r="H120" s="492"/>
      <c r="I120" s="492"/>
      <c r="J120" s="492"/>
      <c r="K120" s="492"/>
      <c r="L120" s="492"/>
      <c r="M120" s="492"/>
      <c r="N120" s="492"/>
      <c r="O120" s="492"/>
      <c r="P120" s="492"/>
      <c r="Q120" s="492"/>
      <c r="R120" s="492"/>
      <c r="S120" s="472">
        <v>216</v>
      </c>
      <c r="T120" s="472">
        <v>216</v>
      </c>
      <c r="U120" s="472">
        <f>SUMIFS(U81:U97, Z81:Z97, "=In Progress")</f>
        <v>0</v>
      </c>
      <c r="V120" s="472">
        <f>SUMIFS(V81:V97, Z81:Z97, "=In Progress")</f>
        <v>0</v>
      </c>
      <c r="W120" s="472"/>
      <c r="X120" s="472"/>
      <c r="Y120" s="472"/>
      <c r="Z120" s="472"/>
      <c r="AA120" s="472">
        <f>COUNTIFS(AA81:AA95, "=In Progress")</f>
        <v>5</v>
      </c>
      <c r="AB120" s="472"/>
      <c r="AC120" s="472"/>
      <c r="AD120" s="472"/>
      <c r="AE120" s="472"/>
      <c r="AF120" s="472"/>
      <c r="AG120" s="472"/>
      <c r="AH120" s="472"/>
      <c r="AI120" s="472"/>
      <c r="AJ120" s="472"/>
      <c r="AK120" s="472"/>
      <c r="AL120" s="472"/>
      <c r="AM120" s="472"/>
      <c r="AN120" s="472"/>
      <c r="AO120" s="472"/>
      <c r="AP120" s="472"/>
      <c r="AQ120" s="472"/>
      <c r="AR120" s="135">
        <f>COUNTIF(B:B,B120)</f>
        <v>0</v>
      </c>
      <c r="AS120" s="135">
        <f t="shared" si="33"/>
        <v>0</v>
      </c>
      <c r="AT120" s="136"/>
      <c r="AU120" s="135" t="str">
        <f t="shared" si="34"/>
        <v>0</v>
      </c>
      <c r="AV120" s="135" t="str">
        <f t="shared" si="35"/>
        <v/>
      </c>
      <c r="AW120" s="135" t="str">
        <f t="shared" si="36"/>
        <v/>
      </c>
      <c r="AX120" s="135" t="str">
        <f t="shared" si="37"/>
        <v xml:space="preserve"> </v>
      </c>
      <c r="AY120" s="137"/>
      <c r="AZ120" s="138">
        <f t="shared" si="38"/>
        <v>0</v>
      </c>
      <c r="BA120" s="135" t="str">
        <f t="shared" si="39"/>
        <v xml:space="preserve"> </v>
      </c>
      <c r="BB120" s="135">
        <f t="shared" si="40"/>
        <v>0</v>
      </c>
      <c r="BC120" s="135" t="str">
        <f t="shared" si="41"/>
        <v>no</v>
      </c>
      <c r="BD120" s="135" t="b">
        <f t="shared" si="42"/>
        <v>1</v>
      </c>
      <c r="BE120" s="139" t="s">
        <v>59</v>
      </c>
      <c r="BF120" s="136"/>
    </row>
    <row r="121" spans="1:58" s="170" customFormat="1" ht="154">
      <c r="A121" s="485"/>
      <c r="B121" s="485"/>
      <c r="C121" s="485"/>
      <c r="D121" s="485"/>
      <c r="E121" s="485"/>
      <c r="F121" s="492" t="s">
        <v>223</v>
      </c>
      <c r="G121" s="493"/>
      <c r="H121" s="493"/>
      <c r="I121" s="493"/>
      <c r="J121" s="493"/>
      <c r="K121" s="493"/>
      <c r="L121" s="493"/>
      <c r="M121" s="493"/>
      <c r="N121" s="493"/>
      <c r="O121" s="493"/>
      <c r="P121" s="493"/>
      <c r="Q121" s="493"/>
      <c r="R121" s="493"/>
      <c r="S121" s="472">
        <v>339</v>
      </c>
      <c r="T121" s="472">
        <v>339</v>
      </c>
      <c r="U121" s="472">
        <f>SUMIFS(U81:U97, Z81:Z97, "=Planned")</f>
        <v>0</v>
      </c>
      <c r="V121" s="472">
        <f>SUMIFS(V81:V97, Z81:Z97, "=Planned")</f>
        <v>0</v>
      </c>
      <c r="W121" s="472"/>
      <c r="X121" s="472"/>
      <c r="Y121" s="472"/>
      <c r="Z121" s="472"/>
      <c r="AA121" s="472">
        <f>COUNTIFS(AA81:AA95, "=Planned")</f>
        <v>1</v>
      </c>
      <c r="AB121" s="472"/>
      <c r="AC121" s="472"/>
      <c r="AD121" s="472"/>
      <c r="AE121" s="472"/>
      <c r="AF121" s="472"/>
      <c r="AG121" s="472">
        <f>COUNTIFS(AG81:AG95, "=New")</f>
        <v>0</v>
      </c>
      <c r="AH121" s="472">
        <f>COUNTIFS(AH81:AH95, "=F2F")</f>
        <v>0</v>
      </c>
      <c r="AI121" s="472"/>
      <c r="AJ121" s="472"/>
      <c r="AK121" s="472"/>
      <c r="AL121" s="472"/>
      <c r="AM121" s="472"/>
      <c r="AN121" s="472"/>
      <c r="AO121" s="82"/>
      <c r="AP121" s="82"/>
      <c r="AQ121" s="82"/>
      <c r="AR121" s="135">
        <f>COUNTIF(B:B,B121)</f>
        <v>0</v>
      </c>
      <c r="AS121" s="135">
        <f t="shared" si="33"/>
        <v>0</v>
      </c>
      <c r="AT121" s="136"/>
      <c r="AU121" s="135" t="str">
        <f t="shared" si="34"/>
        <v>0</v>
      </c>
      <c r="AV121" s="135" t="str">
        <f t="shared" si="35"/>
        <v/>
      </c>
      <c r="AW121" s="135" t="str">
        <f t="shared" si="36"/>
        <v/>
      </c>
      <c r="AX121" s="135" t="str">
        <f t="shared" si="37"/>
        <v xml:space="preserve"> </v>
      </c>
      <c r="AY121" s="137"/>
      <c r="AZ121" s="138">
        <f t="shared" si="38"/>
        <v>0</v>
      </c>
      <c r="BA121" s="135" t="str">
        <f t="shared" si="39"/>
        <v xml:space="preserve"> </v>
      </c>
      <c r="BB121" s="135">
        <f t="shared" si="40"/>
        <v>0</v>
      </c>
      <c r="BC121" s="135" t="str">
        <f t="shared" si="41"/>
        <v>no</v>
      </c>
      <c r="BD121" s="135" t="b">
        <f t="shared" si="42"/>
        <v>1</v>
      </c>
      <c r="BE121" s="139" t="s">
        <v>59</v>
      </c>
      <c r="BF121" s="136"/>
    </row>
    <row r="122" spans="1:58" s="126" customFormat="1" ht="154">
      <c r="A122" s="472"/>
      <c r="B122" s="472"/>
      <c r="C122" s="472"/>
      <c r="D122" s="472"/>
      <c r="E122" s="472"/>
      <c r="F122" s="492" t="s">
        <v>224</v>
      </c>
      <c r="G122" s="492"/>
      <c r="H122" s="492"/>
      <c r="I122" s="492"/>
      <c r="J122" s="492"/>
      <c r="K122" s="492"/>
      <c r="L122" s="492"/>
      <c r="M122" s="492"/>
      <c r="N122" s="492"/>
      <c r="O122" s="492"/>
      <c r="P122" s="492"/>
      <c r="Q122" s="492"/>
      <c r="R122" s="492"/>
      <c r="S122" s="472">
        <f>SUMIFS(S81:S95, AA81:AA95, "=Tentative")</f>
        <v>0</v>
      </c>
      <c r="T122" s="472"/>
      <c r="U122" s="472">
        <f>SUMIFS(U81:U97, Z81:Z97, "=Tentative")</f>
        <v>0</v>
      </c>
      <c r="V122" s="472">
        <f>SUMIFS(V81:V97, Z81:Z97, "=Tentative")</f>
        <v>0</v>
      </c>
      <c r="W122" s="472"/>
      <c r="X122" s="472"/>
      <c r="Y122" s="472"/>
      <c r="Z122" s="472"/>
      <c r="AA122" s="472">
        <f>COUNTIFS(AA81:AA95, "=Tentative")</f>
        <v>0</v>
      </c>
      <c r="AB122" s="472"/>
      <c r="AC122" s="472"/>
      <c r="AD122" s="472"/>
      <c r="AE122" s="472"/>
      <c r="AF122" s="472"/>
      <c r="AG122" s="472"/>
      <c r="AH122" s="472"/>
      <c r="AI122" s="472"/>
      <c r="AJ122" s="472"/>
      <c r="AK122" s="472"/>
      <c r="AL122" s="472"/>
      <c r="AM122" s="472"/>
      <c r="AN122" s="472"/>
      <c r="AO122" s="472"/>
      <c r="AP122" s="472"/>
      <c r="AQ122" s="472"/>
      <c r="AR122" s="135">
        <f>COUNTIF(B:B,B122)</f>
        <v>0</v>
      </c>
      <c r="AS122" s="135">
        <f t="shared" si="33"/>
        <v>0</v>
      </c>
      <c r="AT122" s="136"/>
      <c r="AU122" s="135" t="str">
        <f t="shared" si="34"/>
        <v>0</v>
      </c>
      <c r="AV122" s="135" t="str">
        <f t="shared" si="35"/>
        <v/>
      </c>
      <c r="AW122" s="135" t="str">
        <f t="shared" si="36"/>
        <v/>
      </c>
      <c r="AX122" s="135" t="str">
        <f t="shared" si="37"/>
        <v xml:space="preserve"> </v>
      </c>
      <c r="AY122" s="137"/>
      <c r="AZ122" s="138">
        <f t="shared" si="38"/>
        <v>0</v>
      </c>
      <c r="BA122" s="135" t="str">
        <f t="shared" si="39"/>
        <v xml:space="preserve"> </v>
      </c>
      <c r="BB122" s="135">
        <f t="shared" si="40"/>
        <v>0</v>
      </c>
      <c r="BC122" s="135" t="str">
        <f t="shared" si="41"/>
        <v>no</v>
      </c>
      <c r="BD122" s="135" t="b">
        <f t="shared" si="42"/>
        <v>1</v>
      </c>
      <c r="BE122" s="139" t="s">
        <v>59</v>
      </c>
      <c r="BF122" s="136"/>
    </row>
    <row r="123" spans="1:58" s="170" customFormat="1" ht="154">
      <c r="A123" s="485"/>
      <c r="B123" s="485"/>
      <c r="C123" s="485"/>
      <c r="D123" s="485"/>
      <c r="E123" s="485"/>
      <c r="F123" s="494" t="s">
        <v>225</v>
      </c>
      <c r="G123" s="493"/>
      <c r="H123" s="493"/>
      <c r="I123" s="493"/>
      <c r="J123" s="493"/>
      <c r="K123" s="493"/>
      <c r="L123" s="493"/>
      <c r="M123" s="493"/>
      <c r="N123" s="493"/>
      <c r="O123" s="493"/>
      <c r="P123" s="493"/>
      <c r="Q123" s="493"/>
      <c r="R123" s="493"/>
      <c r="S123" s="473">
        <v>340</v>
      </c>
      <c r="T123" s="472"/>
      <c r="U123" s="473">
        <f>SUM(U81:U97)</f>
        <v>133</v>
      </c>
      <c r="V123" s="473">
        <f>SUM(V81:V97)</f>
        <v>794</v>
      </c>
      <c r="W123" s="473"/>
      <c r="X123" s="472"/>
      <c r="Y123" s="472"/>
      <c r="Z123" s="472"/>
      <c r="AA123" s="472"/>
      <c r="AB123" s="472"/>
      <c r="AC123" s="472"/>
      <c r="AD123" s="472"/>
      <c r="AE123" s="472"/>
      <c r="AF123" s="472"/>
      <c r="AG123" s="472"/>
      <c r="AH123" s="472"/>
      <c r="AI123" s="472"/>
      <c r="AJ123" s="472"/>
      <c r="AK123" s="472"/>
      <c r="AL123" s="472"/>
      <c r="AM123" s="472"/>
      <c r="AN123" s="472"/>
      <c r="AO123" s="82"/>
      <c r="AP123" s="82"/>
      <c r="AQ123" s="82"/>
      <c r="AR123" s="135">
        <f>COUNTIF(B:B,B123)</f>
        <v>0</v>
      </c>
      <c r="AS123" s="135">
        <f t="shared" si="33"/>
        <v>0</v>
      </c>
      <c r="AT123" s="136"/>
      <c r="AU123" s="135" t="str">
        <f t="shared" si="34"/>
        <v>0</v>
      </c>
      <c r="AV123" s="135" t="str">
        <f t="shared" si="35"/>
        <v/>
      </c>
      <c r="AW123" s="135" t="str">
        <f t="shared" si="36"/>
        <v/>
      </c>
      <c r="AX123" s="135" t="str">
        <f t="shared" si="37"/>
        <v xml:space="preserve"> </v>
      </c>
      <c r="AY123" s="137"/>
      <c r="AZ123" s="138">
        <f t="shared" si="38"/>
        <v>0</v>
      </c>
      <c r="BA123" s="135" t="str">
        <f t="shared" si="39"/>
        <v xml:space="preserve"> </v>
      </c>
      <c r="BB123" s="135">
        <f t="shared" si="40"/>
        <v>0</v>
      </c>
      <c r="BC123" s="135" t="str">
        <f t="shared" si="41"/>
        <v>no</v>
      </c>
      <c r="BD123" s="135" t="b">
        <f t="shared" si="42"/>
        <v>0</v>
      </c>
      <c r="BE123" s="139" t="s">
        <v>59</v>
      </c>
      <c r="BF123" s="136"/>
    </row>
    <row r="124" spans="1:58" s="149" customFormat="1" ht="154">
      <c r="A124" s="171" t="s">
        <v>364</v>
      </c>
      <c r="B124" s="172" t="s">
        <v>365</v>
      </c>
      <c r="D124" s="149">
        <v>10080584</v>
      </c>
      <c r="E124" s="154" t="s">
        <v>80</v>
      </c>
      <c r="F124" s="154" t="s">
        <v>366</v>
      </c>
      <c r="G124" s="153" t="s">
        <v>367</v>
      </c>
      <c r="H124" s="155">
        <v>43962</v>
      </c>
      <c r="I124" s="156">
        <v>43966</v>
      </c>
      <c r="J124" s="155">
        <v>43983</v>
      </c>
      <c r="K124" s="156">
        <v>44012</v>
      </c>
      <c r="L124" s="156" t="s">
        <v>368</v>
      </c>
      <c r="M124" s="156">
        <v>43976</v>
      </c>
      <c r="N124" s="156">
        <v>43980</v>
      </c>
      <c r="O124" s="156"/>
      <c r="P124" s="156"/>
      <c r="Q124" s="149" t="s">
        <v>82</v>
      </c>
      <c r="R124" s="149" t="s">
        <v>369</v>
      </c>
      <c r="S124" s="81">
        <f t="shared" ref="S124:S145" si="103">U124+V124</f>
        <v>16</v>
      </c>
      <c r="T124" s="149">
        <v>16</v>
      </c>
      <c r="U124" s="149">
        <v>0</v>
      </c>
      <c r="V124" s="472">
        <v>16</v>
      </c>
      <c r="W124" s="149" t="s">
        <v>370</v>
      </c>
      <c r="X124" s="136"/>
      <c r="Y124" s="472"/>
      <c r="Z124" s="156" t="s">
        <v>52</v>
      </c>
      <c r="AA124" s="156" t="s">
        <v>52</v>
      </c>
      <c r="AB124" s="156" t="s">
        <v>52</v>
      </c>
      <c r="AC124" s="156" t="s">
        <v>52</v>
      </c>
      <c r="AD124" s="149" t="s">
        <v>52</v>
      </c>
      <c r="AE124" s="149" t="s">
        <v>371</v>
      </c>
      <c r="AF124" s="149" t="s">
        <v>371</v>
      </c>
      <c r="AG124" s="149" t="s">
        <v>85</v>
      </c>
      <c r="AH124" s="149" t="s">
        <v>86</v>
      </c>
      <c r="AJ124" s="472" t="s">
        <v>86</v>
      </c>
      <c r="AK124" s="149">
        <v>60</v>
      </c>
      <c r="AL124" s="149" t="s">
        <v>372</v>
      </c>
      <c r="AN124" s="149" t="s">
        <v>373</v>
      </c>
      <c r="AR124" s="135">
        <f>COUNTIF(B:B,B124)</f>
        <v>1</v>
      </c>
      <c r="AS124" s="135" t="str">
        <f t="shared" si="33"/>
        <v>2020_05_11_a</v>
      </c>
      <c r="AT124" s="136"/>
      <c r="AU124" s="135" t="str">
        <f t="shared" si="34"/>
        <v>2020</v>
      </c>
      <c r="AV124" s="135" t="str">
        <f t="shared" si="35"/>
        <v>05</v>
      </c>
      <c r="AW124" s="135" t="str">
        <f t="shared" si="36"/>
        <v>11</v>
      </c>
      <c r="AX124" s="135">
        <f t="shared" si="37"/>
        <v>43962</v>
      </c>
      <c r="AY124" s="137"/>
      <c r="AZ124" s="138">
        <f t="shared" si="38"/>
        <v>43962</v>
      </c>
      <c r="BA124" s="135" t="b">
        <f t="shared" si="39"/>
        <v>1</v>
      </c>
      <c r="BB124" s="135">
        <f t="shared" si="40"/>
        <v>43962</v>
      </c>
      <c r="BC124" s="135" t="str">
        <f t="shared" si="41"/>
        <v>no</v>
      </c>
      <c r="BD124" s="135" t="b">
        <f t="shared" si="42"/>
        <v>0</v>
      </c>
      <c r="BE124" s="139" t="s">
        <v>59</v>
      </c>
      <c r="BF124" s="136"/>
    </row>
    <row r="125" spans="1:58" s="149" customFormat="1" ht="154">
      <c r="A125" s="171" t="s">
        <v>374</v>
      </c>
      <c r="B125" s="38" t="s">
        <v>375</v>
      </c>
      <c r="C125" s="472"/>
      <c r="D125" s="173">
        <v>10089091</v>
      </c>
      <c r="E125" s="471" t="s">
        <v>376</v>
      </c>
      <c r="F125" s="471" t="s">
        <v>366</v>
      </c>
      <c r="G125" s="174" t="s">
        <v>377</v>
      </c>
      <c r="H125" s="175">
        <v>44102</v>
      </c>
      <c r="I125" s="176" t="s">
        <v>378</v>
      </c>
      <c r="J125" s="175">
        <v>44166</v>
      </c>
      <c r="K125" s="176" t="s">
        <v>379</v>
      </c>
      <c r="L125" s="176" t="s">
        <v>380</v>
      </c>
      <c r="M125" s="176" t="s">
        <v>381</v>
      </c>
      <c r="N125" s="176" t="s">
        <v>382</v>
      </c>
      <c r="O125" s="176" t="s">
        <v>48</v>
      </c>
      <c r="P125" s="176" t="s">
        <v>48</v>
      </c>
      <c r="Q125" s="472" t="s">
        <v>93</v>
      </c>
      <c r="R125" s="472" t="s">
        <v>369</v>
      </c>
      <c r="S125" s="472">
        <f t="shared" si="103"/>
        <v>21</v>
      </c>
      <c r="T125" s="472" t="s">
        <v>383</v>
      </c>
      <c r="U125" s="472">
        <v>0</v>
      </c>
      <c r="V125" s="472">
        <v>21</v>
      </c>
      <c r="W125" s="472" t="s">
        <v>370</v>
      </c>
      <c r="X125" s="472"/>
      <c r="Y125" s="472"/>
      <c r="Z125" s="176" t="s">
        <v>52</v>
      </c>
      <c r="AA125" s="176" t="s">
        <v>52</v>
      </c>
      <c r="AB125" s="176" t="s">
        <v>52</v>
      </c>
      <c r="AC125" s="176" t="s">
        <v>52</v>
      </c>
      <c r="AD125" s="472" t="s">
        <v>52</v>
      </c>
      <c r="AE125" s="472" t="s">
        <v>371</v>
      </c>
      <c r="AF125" s="472" t="s">
        <v>371</v>
      </c>
      <c r="AG125" s="472" t="s">
        <v>85</v>
      </c>
      <c r="AH125" s="472" t="s">
        <v>86</v>
      </c>
      <c r="AI125" s="472" t="s">
        <v>48</v>
      </c>
      <c r="AJ125" s="472" t="s">
        <v>86</v>
      </c>
      <c r="AK125" s="472"/>
      <c r="AL125" s="472" t="s">
        <v>57</v>
      </c>
      <c r="AM125" s="472"/>
      <c r="AN125" s="472" t="s">
        <v>384</v>
      </c>
      <c r="AO125" s="472"/>
      <c r="AP125" s="472"/>
      <c r="AQ125" s="472"/>
      <c r="AR125" s="135">
        <f>COUNTIF(B:B,B125)</f>
        <v>1</v>
      </c>
      <c r="AS125" s="135" t="str">
        <f t="shared" si="33"/>
        <v>2020_09_28_a</v>
      </c>
      <c r="AT125" s="136"/>
      <c r="AU125" s="135" t="str">
        <f t="shared" si="34"/>
        <v>2020</v>
      </c>
      <c r="AV125" s="135" t="str">
        <f t="shared" si="35"/>
        <v>09</v>
      </c>
      <c r="AW125" s="135" t="str">
        <f t="shared" si="36"/>
        <v>28</v>
      </c>
      <c r="AX125" s="135">
        <f t="shared" si="37"/>
        <v>44102</v>
      </c>
      <c r="AY125" s="137"/>
      <c r="AZ125" s="138">
        <f t="shared" si="38"/>
        <v>44102</v>
      </c>
      <c r="BA125" s="135" t="b">
        <f t="shared" si="39"/>
        <v>1</v>
      </c>
      <c r="BB125" s="135">
        <f t="shared" si="40"/>
        <v>44102</v>
      </c>
      <c r="BC125" s="135" t="str">
        <f t="shared" si="41"/>
        <v>no</v>
      </c>
      <c r="BD125" s="135" t="b">
        <f t="shared" si="42"/>
        <v>0</v>
      </c>
      <c r="BE125" s="139" t="s">
        <v>59</v>
      </c>
      <c r="BF125" s="136"/>
    </row>
    <row r="126" spans="1:58" s="149" customFormat="1" ht="154">
      <c r="A126" s="171" t="s">
        <v>385</v>
      </c>
      <c r="B126" s="38" t="s">
        <v>386</v>
      </c>
      <c r="C126" s="472"/>
      <c r="D126" s="173">
        <v>10095276</v>
      </c>
      <c r="E126" s="471" t="s">
        <v>376</v>
      </c>
      <c r="F126" s="471" t="s">
        <v>366</v>
      </c>
      <c r="G126" s="174" t="s">
        <v>387</v>
      </c>
      <c r="H126" s="175">
        <v>44172</v>
      </c>
      <c r="I126" s="176">
        <v>44176</v>
      </c>
      <c r="J126" s="175">
        <v>44044</v>
      </c>
      <c r="K126" s="176">
        <v>44135</v>
      </c>
      <c r="L126" s="174" t="s">
        <v>388</v>
      </c>
      <c r="M126" s="176">
        <v>44179</v>
      </c>
      <c r="N126" s="176" t="s">
        <v>389</v>
      </c>
      <c r="O126" s="176" t="s">
        <v>48</v>
      </c>
      <c r="P126" s="176" t="s">
        <v>48</v>
      </c>
      <c r="Q126" s="472" t="s">
        <v>106</v>
      </c>
      <c r="R126" s="472" t="s">
        <v>390</v>
      </c>
      <c r="S126" s="81">
        <f t="shared" si="103"/>
        <v>35</v>
      </c>
      <c r="T126" s="472" t="s">
        <v>383</v>
      </c>
      <c r="U126" s="472">
        <v>0</v>
      </c>
      <c r="V126" s="472">
        <v>35</v>
      </c>
      <c r="W126" s="472" t="s">
        <v>370</v>
      </c>
      <c r="X126" s="472"/>
      <c r="Y126" s="472"/>
      <c r="Z126" s="176" t="s">
        <v>52</v>
      </c>
      <c r="AA126" s="176" t="s">
        <v>52</v>
      </c>
      <c r="AB126" s="176" t="s">
        <v>52</v>
      </c>
      <c r="AC126" s="176" t="s">
        <v>48</v>
      </c>
      <c r="AD126" s="472" t="s">
        <v>52</v>
      </c>
      <c r="AE126" s="472" t="s">
        <v>371</v>
      </c>
      <c r="AF126" s="472" t="s">
        <v>371</v>
      </c>
      <c r="AG126" s="472" t="s">
        <v>85</v>
      </c>
      <c r="AH126" s="472" t="s">
        <v>86</v>
      </c>
      <c r="AI126" s="472" t="s">
        <v>48</v>
      </c>
      <c r="AJ126" s="472" t="s">
        <v>86</v>
      </c>
      <c r="AK126" s="472"/>
      <c r="AL126" s="472" t="s">
        <v>57</v>
      </c>
      <c r="AM126" s="472"/>
      <c r="AN126" s="472" t="s">
        <v>391</v>
      </c>
      <c r="AO126" s="472"/>
      <c r="AP126" s="472"/>
      <c r="AQ126" s="472"/>
      <c r="AR126" s="135">
        <f>COUNTIF(B:B,B126)</f>
        <v>1</v>
      </c>
      <c r="AS126" s="135" t="str">
        <f t="shared" si="33"/>
        <v>2020_12_07_a</v>
      </c>
      <c r="AT126" s="136"/>
      <c r="AU126" s="135" t="str">
        <f t="shared" si="34"/>
        <v>2020</v>
      </c>
      <c r="AV126" s="135" t="str">
        <f t="shared" si="35"/>
        <v>12</v>
      </c>
      <c r="AW126" s="135" t="str">
        <f t="shared" si="36"/>
        <v>07</v>
      </c>
      <c r="AX126" s="135">
        <f t="shared" si="37"/>
        <v>44172</v>
      </c>
      <c r="AY126" s="137"/>
      <c r="AZ126" s="138">
        <f t="shared" si="38"/>
        <v>44172</v>
      </c>
      <c r="BA126" s="135" t="b">
        <f t="shared" si="39"/>
        <v>1</v>
      </c>
      <c r="BB126" s="135">
        <f t="shared" si="40"/>
        <v>44172</v>
      </c>
      <c r="BC126" s="135" t="str">
        <f t="shared" si="41"/>
        <v>no</v>
      </c>
      <c r="BD126" s="135" t="b">
        <f t="shared" si="42"/>
        <v>0</v>
      </c>
      <c r="BE126" s="139" t="s">
        <v>59</v>
      </c>
      <c r="BF126" s="136"/>
    </row>
    <row r="127" spans="1:58" s="149" customFormat="1" ht="154">
      <c r="A127" s="171"/>
      <c r="B127" s="38" t="s">
        <v>392</v>
      </c>
      <c r="C127" s="472"/>
      <c r="D127" s="173">
        <v>10097147</v>
      </c>
      <c r="E127" s="471" t="s">
        <v>376</v>
      </c>
      <c r="F127" s="471" t="s">
        <v>366</v>
      </c>
      <c r="G127" s="174" t="s">
        <v>393</v>
      </c>
      <c r="H127" s="175">
        <v>44228</v>
      </c>
      <c r="I127" s="176" t="s">
        <v>394</v>
      </c>
      <c r="J127" s="175">
        <v>43876</v>
      </c>
      <c r="K127" s="174" t="s">
        <v>395</v>
      </c>
      <c r="L127" s="174" t="s">
        <v>393</v>
      </c>
      <c r="M127" s="176" t="s">
        <v>396</v>
      </c>
      <c r="N127" s="176" t="s">
        <v>397</v>
      </c>
      <c r="O127" s="176" t="s">
        <v>48</v>
      </c>
      <c r="P127" s="176" t="s">
        <v>48</v>
      </c>
      <c r="Q127" s="472" t="s">
        <v>49</v>
      </c>
      <c r="R127" s="472" t="s">
        <v>390</v>
      </c>
      <c r="S127" s="81">
        <f t="shared" si="103"/>
        <v>42</v>
      </c>
      <c r="T127" s="472" t="s">
        <v>383</v>
      </c>
      <c r="U127" s="472">
        <v>0</v>
      </c>
      <c r="V127" s="472">
        <v>42</v>
      </c>
      <c r="W127" s="472" t="s">
        <v>370</v>
      </c>
      <c r="X127" s="472"/>
      <c r="Y127" s="472"/>
      <c r="Z127" s="176" t="s">
        <v>52</v>
      </c>
      <c r="AA127" s="176" t="s">
        <v>52</v>
      </c>
      <c r="AB127" s="176" t="s">
        <v>52</v>
      </c>
      <c r="AC127" s="176" t="s">
        <v>48</v>
      </c>
      <c r="AD127" s="472" t="s">
        <v>52</v>
      </c>
      <c r="AE127" s="472" t="s">
        <v>371</v>
      </c>
      <c r="AF127" s="472" t="s">
        <v>371</v>
      </c>
      <c r="AG127" s="472" t="s">
        <v>85</v>
      </c>
      <c r="AH127" s="472" t="s">
        <v>86</v>
      </c>
      <c r="AI127" s="472" t="s">
        <v>48</v>
      </c>
      <c r="AJ127" s="472" t="s">
        <v>86</v>
      </c>
      <c r="AK127" s="472"/>
      <c r="AL127" s="472" t="s">
        <v>372</v>
      </c>
      <c r="AM127" s="472"/>
      <c r="AN127" s="472" t="s">
        <v>398</v>
      </c>
      <c r="AO127" s="472"/>
      <c r="AP127" s="472"/>
      <c r="AQ127" s="472"/>
      <c r="AR127" s="135">
        <f>COUNTIF(B:B,B127)</f>
        <v>1</v>
      </c>
      <c r="AS127" s="135" t="str">
        <f t="shared" si="33"/>
        <v>2021_02_01_a</v>
      </c>
      <c r="AT127" s="136"/>
      <c r="AU127" s="135" t="str">
        <f t="shared" si="34"/>
        <v>2021</v>
      </c>
      <c r="AV127" s="135" t="str">
        <f t="shared" si="35"/>
        <v>02</v>
      </c>
      <c r="AW127" s="135" t="str">
        <f t="shared" si="36"/>
        <v>01</v>
      </c>
      <c r="AX127" s="135">
        <f t="shared" si="37"/>
        <v>44228</v>
      </c>
      <c r="AY127" s="137"/>
      <c r="AZ127" s="138">
        <f t="shared" si="38"/>
        <v>44228</v>
      </c>
      <c r="BA127" s="135" t="b">
        <f t="shared" si="39"/>
        <v>1</v>
      </c>
      <c r="BB127" s="135">
        <f t="shared" si="40"/>
        <v>44228</v>
      </c>
      <c r="BC127" s="135" t="str">
        <f t="shared" si="41"/>
        <v>no</v>
      </c>
      <c r="BD127" s="135" t="b">
        <f t="shared" si="42"/>
        <v>0</v>
      </c>
      <c r="BE127" s="139" t="s">
        <v>59</v>
      </c>
      <c r="BF127" s="136"/>
    </row>
    <row r="128" spans="1:58" s="149" customFormat="1" ht="154">
      <c r="A128" s="171"/>
      <c r="B128" s="38" t="s">
        <v>399</v>
      </c>
      <c r="C128" s="472"/>
      <c r="D128" s="173">
        <v>10097147</v>
      </c>
      <c r="E128" s="471" t="s">
        <v>376</v>
      </c>
      <c r="F128" s="471" t="s">
        <v>366</v>
      </c>
      <c r="G128" s="174" t="s">
        <v>400</v>
      </c>
      <c r="H128" s="175">
        <v>44263</v>
      </c>
      <c r="I128" s="176" t="s">
        <v>401</v>
      </c>
      <c r="J128" s="175">
        <v>44277</v>
      </c>
      <c r="K128" s="174">
        <v>44531</v>
      </c>
      <c r="L128" s="174" t="s">
        <v>400</v>
      </c>
      <c r="M128" s="176" t="s">
        <v>402</v>
      </c>
      <c r="N128" s="176" t="s">
        <v>403</v>
      </c>
      <c r="O128" s="176" t="s">
        <v>48</v>
      </c>
      <c r="P128" s="176" t="s">
        <v>48</v>
      </c>
      <c r="Q128" s="472" t="s">
        <v>49</v>
      </c>
      <c r="R128" s="472" t="s">
        <v>390</v>
      </c>
      <c r="S128" s="81">
        <f t="shared" si="103"/>
        <v>37</v>
      </c>
      <c r="T128" s="472" t="s">
        <v>383</v>
      </c>
      <c r="U128" s="472">
        <v>0</v>
      </c>
      <c r="V128" s="472">
        <v>37</v>
      </c>
      <c r="W128" s="472" t="s">
        <v>370</v>
      </c>
      <c r="X128" s="472"/>
      <c r="Y128" s="472"/>
      <c r="Z128" s="176" t="s">
        <v>52</v>
      </c>
      <c r="AA128" s="176" t="s">
        <v>52</v>
      </c>
      <c r="AB128" s="176" t="s">
        <v>52</v>
      </c>
      <c r="AC128" s="176" t="s">
        <v>52</v>
      </c>
      <c r="AD128" s="472" t="s">
        <v>52</v>
      </c>
      <c r="AE128" s="472" t="s">
        <v>54</v>
      </c>
      <c r="AF128" s="472" t="s">
        <v>54</v>
      </c>
      <c r="AG128" s="472" t="s">
        <v>85</v>
      </c>
      <c r="AH128" s="472" t="s">
        <v>86</v>
      </c>
      <c r="AI128" s="472" t="s">
        <v>48</v>
      </c>
      <c r="AJ128" s="472" t="s">
        <v>86</v>
      </c>
      <c r="AK128" s="472"/>
      <c r="AL128" s="472" t="s">
        <v>372</v>
      </c>
      <c r="AM128" s="472"/>
      <c r="AN128" s="472" t="s">
        <v>404</v>
      </c>
      <c r="AO128" s="472"/>
      <c r="AP128" s="472"/>
      <c r="AQ128" s="472"/>
      <c r="AR128" s="135">
        <f>COUNTIF(B:B,B128)</f>
        <v>1</v>
      </c>
      <c r="AS128" s="135" t="str">
        <f t="shared" si="33"/>
        <v>2021_03_08_a</v>
      </c>
      <c r="AT128" s="136"/>
      <c r="AU128" s="135" t="str">
        <f t="shared" si="34"/>
        <v>2021</v>
      </c>
      <c r="AV128" s="135" t="str">
        <f t="shared" si="35"/>
        <v>03</v>
      </c>
      <c r="AW128" s="135" t="str">
        <f t="shared" si="36"/>
        <v>08</v>
      </c>
      <c r="AX128" s="135">
        <f t="shared" si="37"/>
        <v>44263</v>
      </c>
      <c r="AY128" s="137"/>
      <c r="AZ128" s="138">
        <f t="shared" si="38"/>
        <v>44263</v>
      </c>
      <c r="BA128" s="135" t="b">
        <f t="shared" si="39"/>
        <v>1</v>
      </c>
      <c r="BB128" s="135">
        <f t="shared" si="40"/>
        <v>44263</v>
      </c>
      <c r="BC128" s="135" t="str">
        <f t="shared" si="41"/>
        <v>no</v>
      </c>
      <c r="BD128" s="135" t="b">
        <f t="shared" si="42"/>
        <v>0</v>
      </c>
      <c r="BE128" s="139" t="s">
        <v>59</v>
      </c>
      <c r="BF128" s="136"/>
    </row>
    <row r="129" spans="1:58" s="149" customFormat="1" ht="154">
      <c r="A129" s="171"/>
      <c r="B129" s="38" t="s">
        <v>405</v>
      </c>
      <c r="C129" s="472"/>
      <c r="D129" s="173">
        <v>10097147</v>
      </c>
      <c r="E129" s="471" t="s">
        <v>376</v>
      </c>
      <c r="F129" s="471" t="s">
        <v>366</v>
      </c>
      <c r="G129" s="174" t="s">
        <v>406</v>
      </c>
      <c r="H129" s="175">
        <v>44410</v>
      </c>
      <c r="I129" s="176" t="s">
        <v>407</v>
      </c>
      <c r="J129" s="175">
        <v>44466</v>
      </c>
      <c r="K129" s="174">
        <v>44831</v>
      </c>
      <c r="L129" s="174" t="s">
        <v>406</v>
      </c>
      <c r="M129" s="176" t="s">
        <v>408</v>
      </c>
      <c r="N129" s="176" t="s">
        <v>409</v>
      </c>
      <c r="O129" s="176" t="s">
        <v>48</v>
      </c>
      <c r="P129" s="176" t="s">
        <v>48</v>
      </c>
      <c r="Q129" s="472" t="s">
        <v>93</v>
      </c>
      <c r="R129" s="472" t="s">
        <v>390</v>
      </c>
      <c r="S129" s="81">
        <f t="shared" si="103"/>
        <v>31</v>
      </c>
      <c r="T129" s="472" t="s">
        <v>383</v>
      </c>
      <c r="U129" s="472">
        <v>0</v>
      </c>
      <c r="V129" s="472">
        <v>31</v>
      </c>
      <c r="W129" s="472" t="s">
        <v>370</v>
      </c>
      <c r="X129" s="472"/>
      <c r="Y129" s="472"/>
      <c r="Z129" s="176" t="s">
        <v>52</v>
      </c>
      <c r="AA129" s="176" t="s">
        <v>52</v>
      </c>
      <c r="AB129" s="176" t="s">
        <v>52</v>
      </c>
      <c r="AC129" s="176" t="s">
        <v>52</v>
      </c>
      <c r="AD129" s="472" t="s">
        <v>52</v>
      </c>
      <c r="AE129" s="472" t="s">
        <v>54</v>
      </c>
      <c r="AF129" s="472" t="s">
        <v>54</v>
      </c>
      <c r="AG129" s="472" t="s">
        <v>85</v>
      </c>
      <c r="AH129" s="472" t="s">
        <v>86</v>
      </c>
      <c r="AI129" s="472" t="s">
        <v>48</v>
      </c>
      <c r="AJ129" s="472" t="s">
        <v>86</v>
      </c>
      <c r="AK129" s="472"/>
      <c r="AL129" s="472" t="s">
        <v>372</v>
      </c>
      <c r="AM129" s="472"/>
      <c r="AN129" s="472" t="s">
        <v>404</v>
      </c>
      <c r="AO129" s="472"/>
      <c r="AP129" s="472"/>
      <c r="AQ129" s="472"/>
      <c r="AR129" s="135">
        <f>COUNTIF(B:B,B129)</f>
        <v>1</v>
      </c>
      <c r="AS129" s="135" t="str">
        <f t="shared" si="33"/>
        <v>2021_08_02_a</v>
      </c>
      <c r="AT129" s="136"/>
      <c r="AU129" s="135" t="str">
        <f t="shared" si="34"/>
        <v>2021</v>
      </c>
      <c r="AV129" s="135" t="str">
        <f t="shared" si="35"/>
        <v>08</v>
      </c>
      <c r="AW129" s="135" t="str">
        <f t="shared" si="36"/>
        <v>02</v>
      </c>
      <c r="AX129" s="135">
        <f t="shared" si="37"/>
        <v>44410</v>
      </c>
      <c r="AY129" s="137"/>
      <c r="AZ129" s="138">
        <f t="shared" si="38"/>
        <v>44410</v>
      </c>
      <c r="BA129" s="135" t="b">
        <f t="shared" si="39"/>
        <v>1</v>
      </c>
      <c r="BB129" s="135">
        <f t="shared" si="40"/>
        <v>44410</v>
      </c>
      <c r="BC129" s="135" t="str">
        <f t="shared" si="41"/>
        <v>no</v>
      </c>
      <c r="BD129" s="135" t="b">
        <f t="shared" si="42"/>
        <v>0</v>
      </c>
      <c r="BE129" s="139" t="s">
        <v>59</v>
      </c>
      <c r="BF129" s="136"/>
    </row>
    <row r="130" spans="1:58" s="149" customFormat="1" ht="154">
      <c r="A130" s="171"/>
      <c r="B130" s="38" t="s">
        <v>410</v>
      </c>
      <c r="C130" s="472"/>
      <c r="D130" s="173">
        <v>10224122</v>
      </c>
      <c r="E130" s="471" t="s">
        <v>376</v>
      </c>
      <c r="F130" s="471" t="s">
        <v>366</v>
      </c>
      <c r="G130" s="174" t="s">
        <v>411</v>
      </c>
      <c r="H130" s="175">
        <v>44480</v>
      </c>
      <c r="I130" s="176" t="s">
        <v>412</v>
      </c>
      <c r="J130" s="175">
        <v>44494</v>
      </c>
      <c r="K130" s="174">
        <v>44859</v>
      </c>
      <c r="L130" s="174" t="s">
        <v>411</v>
      </c>
      <c r="M130" s="176" t="s">
        <v>413</v>
      </c>
      <c r="N130" s="176" t="s">
        <v>414</v>
      </c>
      <c r="O130" s="176" t="s">
        <v>48</v>
      </c>
      <c r="P130" s="176" t="s">
        <v>48</v>
      </c>
      <c r="Q130" s="472" t="s">
        <v>106</v>
      </c>
      <c r="R130" s="472" t="s">
        <v>390</v>
      </c>
      <c r="S130" s="81">
        <f t="shared" si="103"/>
        <v>40</v>
      </c>
      <c r="T130" s="472" t="s">
        <v>383</v>
      </c>
      <c r="U130" s="472">
        <v>0</v>
      </c>
      <c r="V130" s="472">
        <v>40</v>
      </c>
      <c r="W130" s="472" t="s">
        <v>370</v>
      </c>
      <c r="X130" s="472"/>
      <c r="Y130" s="472"/>
      <c r="Z130" s="176" t="s">
        <v>52</v>
      </c>
      <c r="AA130" s="176" t="s">
        <v>52</v>
      </c>
      <c r="AB130" s="176" t="s">
        <v>52</v>
      </c>
      <c r="AC130" s="176" t="s">
        <v>52</v>
      </c>
      <c r="AD130" s="176" t="s">
        <v>52</v>
      </c>
      <c r="AE130" s="176" t="s">
        <v>371</v>
      </c>
      <c r="AF130" s="176" t="s">
        <v>371</v>
      </c>
      <c r="AG130" s="472" t="s">
        <v>85</v>
      </c>
      <c r="AH130" s="472" t="s">
        <v>86</v>
      </c>
      <c r="AI130" s="472" t="s">
        <v>48</v>
      </c>
      <c r="AJ130" s="472" t="s">
        <v>86</v>
      </c>
      <c r="AK130" s="472"/>
      <c r="AL130" s="472" t="s">
        <v>372</v>
      </c>
      <c r="AM130" s="472"/>
      <c r="AN130" s="472" t="s">
        <v>404</v>
      </c>
      <c r="AO130" s="472"/>
      <c r="AP130" s="472"/>
      <c r="AQ130" s="472"/>
      <c r="AR130" s="135">
        <f>COUNTIF(B:B,B130)</f>
        <v>1</v>
      </c>
      <c r="AS130" s="135" t="str">
        <f t="shared" si="33"/>
        <v>2021_10_11_a</v>
      </c>
      <c r="AT130" s="136"/>
      <c r="AU130" s="135" t="str">
        <f t="shared" si="34"/>
        <v>2021</v>
      </c>
      <c r="AV130" s="135" t="str">
        <f t="shared" si="35"/>
        <v>10</v>
      </c>
      <c r="AW130" s="135" t="str">
        <f t="shared" si="36"/>
        <v>11</v>
      </c>
      <c r="AX130" s="135">
        <f t="shared" si="37"/>
        <v>44480</v>
      </c>
      <c r="AY130" s="137"/>
      <c r="AZ130" s="138">
        <f t="shared" si="38"/>
        <v>44480</v>
      </c>
      <c r="BA130" s="135" t="b">
        <f t="shared" si="39"/>
        <v>1</v>
      </c>
      <c r="BB130" s="135">
        <f t="shared" si="40"/>
        <v>44480</v>
      </c>
      <c r="BC130" s="135" t="str">
        <f t="shared" si="41"/>
        <v>no</v>
      </c>
      <c r="BD130" s="135" t="b">
        <f t="shared" si="42"/>
        <v>0</v>
      </c>
      <c r="BE130" s="139" t="s">
        <v>59</v>
      </c>
      <c r="BF130" s="136"/>
    </row>
    <row r="131" spans="1:58" s="149" customFormat="1" ht="154">
      <c r="A131" s="171"/>
      <c r="B131" s="38" t="s">
        <v>415</v>
      </c>
      <c r="C131" s="472"/>
      <c r="D131" s="173">
        <v>10230169</v>
      </c>
      <c r="E131" s="471" t="s">
        <v>376</v>
      </c>
      <c r="F131" s="471" t="s">
        <v>366</v>
      </c>
      <c r="G131" s="174" t="s">
        <v>416</v>
      </c>
      <c r="H131" s="175">
        <v>44508</v>
      </c>
      <c r="I131" s="176">
        <v>44512</v>
      </c>
      <c r="J131" s="175">
        <v>44522</v>
      </c>
      <c r="K131" s="174">
        <v>44887</v>
      </c>
      <c r="L131" s="174" t="s">
        <v>416</v>
      </c>
      <c r="M131" s="176">
        <v>44515</v>
      </c>
      <c r="N131" s="176">
        <v>44519</v>
      </c>
      <c r="O131" s="176" t="s">
        <v>48</v>
      </c>
      <c r="P131" s="176" t="s">
        <v>48</v>
      </c>
      <c r="Q131" s="472" t="s">
        <v>106</v>
      </c>
      <c r="R131" s="472" t="s">
        <v>390</v>
      </c>
      <c r="S131" s="81">
        <f t="shared" si="103"/>
        <v>48</v>
      </c>
      <c r="T131" s="472">
        <v>50</v>
      </c>
      <c r="U131" s="472">
        <v>0</v>
      </c>
      <c r="V131" s="472">
        <v>48</v>
      </c>
      <c r="W131" s="472" t="s">
        <v>370</v>
      </c>
      <c r="X131" s="472"/>
      <c r="Y131" s="472"/>
      <c r="Z131" s="176" t="s">
        <v>52</v>
      </c>
      <c r="AA131" s="176" t="s">
        <v>52</v>
      </c>
      <c r="AB131" s="176" t="s">
        <v>52</v>
      </c>
      <c r="AC131" s="176" t="s">
        <v>52</v>
      </c>
      <c r="AD131" s="176" t="s">
        <v>52</v>
      </c>
      <c r="AE131" s="176" t="s">
        <v>371</v>
      </c>
      <c r="AF131" s="176" t="s">
        <v>371</v>
      </c>
      <c r="AG131" s="472" t="s">
        <v>85</v>
      </c>
      <c r="AH131" s="472" t="s">
        <v>86</v>
      </c>
      <c r="AI131" s="472" t="s">
        <v>48</v>
      </c>
      <c r="AJ131" s="472" t="s">
        <v>86</v>
      </c>
      <c r="AK131" s="472"/>
      <c r="AL131" s="472" t="s">
        <v>372</v>
      </c>
      <c r="AM131" s="472"/>
      <c r="AN131" s="472" t="s">
        <v>404</v>
      </c>
      <c r="AO131" s="472"/>
      <c r="AP131" s="472"/>
      <c r="AQ131" s="472"/>
      <c r="AR131" s="135">
        <f>COUNTIF(B:B,B131)</f>
        <v>1</v>
      </c>
      <c r="AS131" s="135" t="str">
        <f t="shared" si="33"/>
        <v>2021_11_08_a</v>
      </c>
      <c r="AT131" s="136"/>
      <c r="AU131" s="135" t="str">
        <f t="shared" si="34"/>
        <v>2021</v>
      </c>
      <c r="AV131" s="135" t="str">
        <f t="shared" si="35"/>
        <v>11</v>
      </c>
      <c r="AW131" s="135" t="str">
        <f t="shared" si="36"/>
        <v>08</v>
      </c>
      <c r="AX131" s="135">
        <f t="shared" si="37"/>
        <v>44508</v>
      </c>
      <c r="AY131" s="137"/>
      <c r="AZ131" s="138">
        <f t="shared" si="38"/>
        <v>44508</v>
      </c>
      <c r="BA131" s="135" t="b">
        <f t="shared" si="39"/>
        <v>1</v>
      </c>
      <c r="BB131" s="135">
        <f t="shared" si="40"/>
        <v>44508</v>
      </c>
      <c r="BC131" s="135" t="str">
        <f t="shared" si="41"/>
        <v>no</v>
      </c>
      <c r="BD131" s="135" t="b">
        <f t="shared" si="42"/>
        <v>0</v>
      </c>
      <c r="BE131" s="139" t="s">
        <v>59</v>
      </c>
      <c r="BF131" s="136"/>
    </row>
    <row r="132" spans="1:58" s="149" customFormat="1" ht="154">
      <c r="A132" s="171"/>
      <c r="B132" s="38" t="s">
        <v>417</v>
      </c>
      <c r="C132" s="472"/>
      <c r="D132" s="173" t="s">
        <v>418</v>
      </c>
      <c r="E132" s="471" t="s">
        <v>376</v>
      </c>
      <c r="F132" s="471" t="s">
        <v>366</v>
      </c>
      <c r="G132" s="174" t="s">
        <v>419</v>
      </c>
      <c r="H132" s="175">
        <v>44536</v>
      </c>
      <c r="I132" s="176">
        <v>44540</v>
      </c>
      <c r="J132" s="175">
        <v>44550</v>
      </c>
      <c r="K132" s="174">
        <v>44915</v>
      </c>
      <c r="L132" s="174" t="s">
        <v>419</v>
      </c>
      <c r="M132" s="176" t="s">
        <v>420</v>
      </c>
      <c r="N132" s="176" t="s">
        <v>421</v>
      </c>
      <c r="O132" s="176" t="s">
        <v>48</v>
      </c>
      <c r="P132" s="176" t="s">
        <v>48</v>
      </c>
      <c r="Q132" s="472" t="s">
        <v>106</v>
      </c>
      <c r="R132" s="472" t="s">
        <v>390</v>
      </c>
      <c r="S132" s="81">
        <f t="shared" si="103"/>
        <v>63</v>
      </c>
      <c r="T132" s="472">
        <v>70</v>
      </c>
      <c r="U132" s="472">
        <v>0</v>
      </c>
      <c r="V132" s="472">
        <v>63</v>
      </c>
      <c r="W132" s="472" t="s">
        <v>370</v>
      </c>
      <c r="X132" s="472"/>
      <c r="Y132" s="472"/>
      <c r="Z132" s="176" t="s">
        <v>52</v>
      </c>
      <c r="AA132" s="176" t="s">
        <v>52</v>
      </c>
      <c r="AB132" s="176" t="s">
        <v>52</v>
      </c>
      <c r="AC132" s="176" t="s">
        <v>52</v>
      </c>
      <c r="AD132" s="176" t="s">
        <v>52</v>
      </c>
      <c r="AE132" s="176" t="s">
        <v>371</v>
      </c>
      <c r="AF132" s="176" t="s">
        <v>371</v>
      </c>
      <c r="AG132" s="472" t="s">
        <v>85</v>
      </c>
      <c r="AH132" s="472" t="s">
        <v>86</v>
      </c>
      <c r="AI132" s="472" t="s">
        <v>48</v>
      </c>
      <c r="AJ132" s="472" t="s">
        <v>86</v>
      </c>
      <c r="AK132" s="472"/>
      <c r="AL132" s="472" t="s">
        <v>372</v>
      </c>
      <c r="AM132" s="472"/>
      <c r="AN132" s="472" t="s">
        <v>404</v>
      </c>
      <c r="AO132" s="472"/>
      <c r="AP132" s="472"/>
      <c r="AQ132" s="472"/>
      <c r="AR132" s="135">
        <f>COUNTIF(B:B,B132)</f>
        <v>1</v>
      </c>
      <c r="AS132" s="135" t="str">
        <f t="shared" si="33"/>
        <v>2021_12_06_a</v>
      </c>
      <c r="AT132" s="136"/>
      <c r="AU132" s="135" t="str">
        <f t="shared" si="34"/>
        <v>2021</v>
      </c>
      <c r="AV132" s="135" t="str">
        <f t="shared" si="35"/>
        <v>12</v>
      </c>
      <c r="AW132" s="135" t="str">
        <f t="shared" si="36"/>
        <v>06</v>
      </c>
      <c r="AX132" s="135">
        <f t="shared" si="37"/>
        <v>44536</v>
      </c>
      <c r="AY132" s="137"/>
      <c r="AZ132" s="138">
        <f t="shared" si="38"/>
        <v>44536</v>
      </c>
      <c r="BA132" s="135" t="b">
        <f t="shared" si="39"/>
        <v>1</v>
      </c>
      <c r="BB132" s="135">
        <f t="shared" si="40"/>
        <v>44536</v>
      </c>
      <c r="BC132" s="135" t="str">
        <f t="shared" si="41"/>
        <v>no</v>
      </c>
      <c r="BD132" s="135" t="b">
        <f t="shared" si="42"/>
        <v>0</v>
      </c>
      <c r="BE132" s="139" t="s">
        <v>59</v>
      </c>
      <c r="BF132" s="136"/>
    </row>
    <row r="133" spans="1:58" s="149" customFormat="1" ht="154">
      <c r="A133" s="171"/>
      <c r="B133" s="38" t="s">
        <v>422</v>
      </c>
      <c r="C133" s="472"/>
      <c r="D133" s="173">
        <v>10248890</v>
      </c>
      <c r="E133" s="471" t="s">
        <v>376</v>
      </c>
      <c r="F133" s="471" t="s">
        <v>366</v>
      </c>
      <c r="G133" s="174" t="s">
        <v>423</v>
      </c>
      <c r="H133" s="175">
        <v>44592</v>
      </c>
      <c r="I133" s="176">
        <v>44596</v>
      </c>
      <c r="J133" s="175">
        <v>44606</v>
      </c>
      <c r="K133" s="174">
        <v>44971</v>
      </c>
      <c r="L133" s="174" t="s">
        <v>423</v>
      </c>
      <c r="M133" s="176">
        <v>44599</v>
      </c>
      <c r="N133" s="176" t="s">
        <v>424</v>
      </c>
      <c r="O133" s="176" t="s">
        <v>48</v>
      </c>
      <c r="P133" s="176" t="s">
        <v>48</v>
      </c>
      <c r="Q133" s="472" t="s">
        <v>49</v>
      </c>
      <c r="R133" s="472" t="s">
        <v>390</v>
      </c>
      <c r="S133" s="81">
        <f t="shared" si="103"/>
        <v>41</v>
      </c>
      <c r="T133" s="472">
        <v>50</v>
      </c>
      <c r="U133" s="472">
        <v>0</v>
      </c>
      <c r="V133" s="472">
        <v>41</v>
      </c>
      <c r="W133" s="472" t="s">
        <v>370</v>
      </c>
      <c r="X133" s="472"/>
      <c r="Y133" s="472"/>
      <c r="Z133" s="176" t="s">
        <v>52</v>
      </c>
      <c r="AA133" s="176" t="s">
        <v>52</v>
      </c>
      <c r="AB133" s="176" t="s">
        <v>52</v>
      </c>
      <c r="AC133" s="176" t="s">
        <v>52</v>
      </c>
      <c r="AD133" s="176" t="s">
        <v>52</v>
      </c>
      <c r="AE133" s="176" t="s">
        <v>371</v>
      </c>
      <c r="AF133" s="176" t="s">
        <v>371</v>
      </c>
      <c r="AG133" s="472" t="s">
        <v>85</v>
      </c>
      <c r="AH133" s="472" t="s">
        <v>86</v>
      </c>
      <c r="AI133" s="472" t="s">
        <v>48</v>
      </c>
      <c r="AJ133" s="472" t="s">
        <v>86</v>
      </c>
      <c r="AK133" s="472"/>
      <c r="AL133" s="472" t="s">
        <v>372</v>
      </c>
      <c r="AM133" s="472"/>
      <c r="AN133" s="472" t="s">
        <v>404</v>
      </c>
      <c r="AO133" s="472"/>
      <c r="AP133" s="472"/>
      <c r="AQ133" s="472"/>
      <c r="AR133" s="135">
        <f>COUNTIF(B:B,B133)</f>
        <v>1</v>
      </c>
      <c r="AS133" s="135" t="str">
        <f t="shared" si="33"/>
        <v>2022_01_31_a</v>
      </c>
      <c r="AT133" s="136"/>
      <c r="AU133" s="135" t="str">
        <f t="shared" si="34"/>
        <v>2022</v>
      </c>
      <c r="AV133" s="135" t="str">
        <f t="shared" si="35"/>
        <v>01</v>
      </c>
      <c r="AW133" s="135" t="str">
        <f t="shared" si="36"/>
        <v>31</v>
      </c>
      <c r="AX133" s="135">
        <f t="shared" si="37"/>
        <v>44592</v>
      </c>
      <c r="AY133" s="137"/>
      <c r="AZ133" s="138">
        <f t="shared" si="38"/>
        <v>44592</v>
      </c>
      <c r="BA133" s="135" t="b">
        <f t="shared" si="39"/>
        <v>1</v>
      </c>
      <c r="BB133" s="135">
        <f t="shared" si="40"/>
        <v>44592</v>
      </c>
      <c r="BC133" s="135" t="str">
        <f t="shared" si="41"/>
        <v>no</v>
      </c>
      <c r="BD133" s="135" t="b">
        <f t="shared" si="42"/>
        <v>0</v>
      </c>
      <c r="BE133" s="139" t="s">
        <v>59</v>
      </c>
      <c r="BF133" s="136"/>
    </row>
    <row r="134" spans="1:58" s="149" customFormat="1" ht="154">
      <c r="A134" s="171"/>
      <c r="B134" s="38" t="s">
        <v>425</v>
      </c>
      <c r="C134" s="472"/>
      <c r="D134" s="173">
        <v>10248890</v>
      </c>
      <c r="E134" s="471" t="s">
        <v>376</v>
      </c>
      <c r="F134" s="471" t="s">
        <v>366</v>
      </c>
      <c r="G134" s="174" t="s">
        <v>426</v>
      </c>
      <c r="H134" s="175">
        <v>44627</v>
      </c>
      <c r="I134" s="176" t="s">
        <v>427</v>
      </c>
      <c r="J134" s="175">
        <v>44641</v>
      </c>
      <c r="K134" s="174">
        <v>45006</v>
      </c>
      <c r="L134" s="174" t="s">
        <v>426</v>
      </c>
      <c r="M134" s="176">
        <v>44634</v>
      </c>
      <c r="N134" s="176" t="s">
        <v>428</v>
      </c>
      <c r="O134" s="176" t="s">
        <v>48</v>
      </c>
      <c r="P134" s="176" t="s">
        <v>48</v>
      </c>
      <c r="Q134" s="472" t="s">
        <v>49</v>
      </c>
      <c r="R134" s="472" t="s">
        <v>390</v>
      </c>
      <c r="S134" s="81">
        <f t="shared" si="103"/>
        <v>58</v>
      </c>
      <c r="T134" s="472">
        <v>60</v>
      </c>
      <c r="U134" s="472">
        <v>0</v>
      </c>
      <c r="V134" s="472">
        <v>58</v>
      </c>
      <c r="W134" s="472" t="s">
        <v>370</v>
      </c>
      <c r="X134" s="472"/>
      <c r="Y134" s="472"/>
      <c r="Z134" s="176" t="s">
        <v>52</v>
      </c>
      <c r="AA134" s="176" t="s">
        <v>52</v>
      </c>
      <c r="AB134" s="176" t="s">
        <v>52</v>
      </c>
      <c r="AC134" s="176" t="s">
        <v>52</v>
      </c>
      <c r="AD134" s="176" t="s">
        <v>52</v>
      </c>
      <c r="AE134" s="176" t="s">
        <v>371</v>
      </c>
      <c r="AF134" s="176" t="s">
        <v>371</v>
      </c>
      <c r="AG134" s="472" t="s">
        <v>85</v>
      </c>
      <c r="AH134" s="472" t="s">
        <v>86</v>
      </c>
      <c r="AI134" s="472" t="s">
        <v>48</v>
      </c>
      <c r="AJ134" s="472" t="s">
        <v>86</v>
      </c>
      <c r="AK134" s="472"/>
      <c r="AL134" s="472" t="s">
        <v>372</v>
      </c>
      <c r="AM134" s="472"/>
      <c r="AN134" s="472" t="s">
        <v>404</v>
      </c>
      <c r="AO134" s="472"/>
      <c r="AP134" s="472"/>
      <c r="AQ134" s="472"/>
      <c r="AR134" s="135">
        <f>COUNTIF(B:B,B134)</f>
        <v>1</v>
      </c>
      <c r="AS134" s="135" t="str">
        <f t="shared" si="33"/>
        <v>2022_03_07_a</v>
      </c>
      <c r="AT134" s="136"/>
      <c r="AU134" s="135" t="str">
        <f t="shared" si="34"/>
        <v>2022</v>
      </c>
      <c r="AV134" s="135" t="str">
        <f t="shared" si="35"/>
        <v>03</v>
      </c>
      <c r="AW134" s="135" t="str">
        <f t="shared" si="36"/>
        <v>07</v>
      </c>
      <c r="AX134" s="135">
        <f t="shared" si="37"/>
        <v>44627</v>
      </c>
      <c r="AY134" s="137"/>
      <c r="AZ134" s="138">
        <f t="shared" si="38"/>
        <v>44627</v>
      </c>
      <c r="BA134" s="135" t="b">
        <f t="shared" si="39"/>
        <v>1</v>
      </c>
      <c r="BB134" s="135">
        <f t="shared" si="40"/>
        <v>44627</v>
      </c>
      <c r="BC134" s="135" t="str">
        <f t="shared" si="41"/>
        <v>no</v>
      </c>
      <c r="BD134" s="135" t="b">
        <f t="shared" si="42"/>
        <v>0</v>
      </c>
      <c r="BE134" s="139" t="s">
        <v>59</v>
      </c>
      <c r="BF134" s="136"/>
    </row>
    <row r="135" spans="1:58" s="149" customFormat="1" ht="154">
      <c r="A135" s="171"/>
      <c r="B135" s="38" t="s">
        <v>429</v>
      </c>
      <c r="C135" s="472"/>
      <c r="D135" s="173">
        <v>10265644</v>
      </c>
      <c r="E135" s="471" t="s">
        <v>376</v>
      </c>
      <c r="F135" s="471" t="s">
        <v>366</v>
      </c>
      <c r="G135" s="174" t="s">
        <v>430</v>
      </c>
      <c r="H135" s="175">
        <v>44655</v>
      </c>
      <c r="I135" s="176" t="s">
        <v>431</v>
      </c>
      <c r="J135" s="175">
        <v>44669</v>
      </c>
      <c r="K135" s="174">
        <v>45034</v>
      </c>
      <c r="L135" s="174" t="s">
        <v>430</v>
      </c>
      <c r="M135" s="176" t="s">
        <v>432</v>
      </c>
      <c r="N135" s="176" t="s">
        <v>433</v>
      </c>
      <c r="O135" s="176" t="s">
        <v>48</v>
      </c>
      <c r="P135" s="176" t="s">
        <v>48</v>
      </c>
      <c r="Q135" s="472" t="s">
        <v>49</v>
      </c>
      <c r="R135" s="472" t="s">
        <v>390</v>
      </c>
      <c r="S135" s="81">
        <f t="shared" si="103"/>
        <v>56</v>
      </c>
      <c r="T135" s="472">
        <v>60</v>
      </c>
      <c r="U135" s="472">
        <v>0</v>
      </c>
      <c r="V135" s="472">
        <v>56</v>
      </c>
      <c r="W135" s="472" t="s">
        <v>370</v>
      </c>
      <c r="X135" s="472"/>
      <c r="Y135" s="472"/>
      <c r="Z135" s="176" t="s">
        <v>52</v>
      </c>
      <c r="AA135" s="176" t="s">
        <v>52</v>
      </c>
      <c r="AB135" s="176" t="s">
        <v>52</v>
      </c>
      <c r="AC135" s="176" t="s">
        <v>52</v>
      </c>
      <c r="AD135" s="176" t="s">
        <v>52</v>
      </c>
      <c r="AE135" s="176" t="s">
        <v>371</v>
      </c>
      <c r="AF135" s="176" t="s">
        <v>371</v>
      </c>
      <c r="AG135" s="472" t="s">
        <v>85</v>
      </c>
      <c r="AH135" s="472" t="s">
        <v>86</v>
      </c>
      <c r="AI135" s="472" t="s">
        <v>48</v>
      </c>
      <c r="AJ135" s="472" t="s">
        <v>86</v>
      </c>
      <c r="AK135" s="472"/>
      <c r="AL135" s="472" t="s">
        <v>372</v>
      </c>
      <c r="AM135" s="472"/>
      <c r="AN135" s="472" t="s">
        <v>404</v>
      </c>
      <c r="AO135" s="472"/>
      <c r="AP135" s="472"/>
      <c r="AQ135" s="472"/>
      <c r="AR135" s="135">
        <f>COUNTIF(B:B,B135)</f>
        <v>1</v>
      </c>
      <c r="AS135" s="135" t="str">
        <f t="shared" si="33"/>
        <v>2022_04_04_a</v>
      </c>
      <c r="AT135" s="136"/>
      <c r="AU135" s="135" t="str">
        <f t="shared" si="34"/>
        <v>2022</v>
      </c>
      <c r="AV135" s="135" t="str">
        <f t="shared" si="35"/>
        <v>04</v>
      </c>
      <c r="AW135" s="135" t="str">
        <f t="shared" si="36"/>
        <v>04</v>
      </c>
      <c r="AX135" s="135">
        <f t="shared" si="37"/>
        <v>44655</v>
      </c>
      <c r="AY135" s="137"/>
      <c r="AZ135" s="138">
        <f t="shared" si="38"/>
        <v>44655</v>
      </c>
      <c r="BA135" s="135" t="b">
        <f t="shared" si="39"/>
        <v>1</v>
      </c>
      <c r="BB135" s="135">
        <f t="shared" si="40"/>
        <v>44655</v>
      </c>
      <c r="BC135" s="135" t="str">
        <f t="shared" si="41"/>
        <v>no</v>
      </c>
      <c r="BD135" s="135" t="b">
        <f t="shared" si="42"/>
        <v>0</v>
      </c>
      <c r="BE135" s="139" t="s">
        <v>59</v>
      </c>
      <c r="BF135" s="136"/>
    </row>
    <row r="136" spans="1:58" s="149" customFormat="1" ht="154">
      <c r="A136" s="171"/>
      <c r="B136" s="38" t="s">
        <v>434</v>
      </c>
      <c r="C136" s="472"/>
      <c r="D136" s="173">
        <v>10265644</v>
      </c>
      <c r="E136" s="471" t="s">
        <v>376</v>
      </c>
      <c r="F136" s="471" t="s">
        <v>366</v>
      </c>
      <c r="G136" s="174">
        <v>44652</v>
      </c>
      <c r="H136" s="175">
        <v>44677</v>
      </c>
      <c r="I136" s="176" t="s">
        <v>435</v>
      </c>
      <c r="J136" s="175">
        <v>44677</v>
      </c>
      <c r="K136" s="174">
        <v>44773</v>
      </c>
      <c r="L136" s="174">
        <v>44652</v>
      </c>
      <c r="M136" s="176" t="s">
        <v>436</v>
      </c>
      <c r="N136" s="176" t="s">
        <v>437</v>
      </c>
      <c r="O136" s="176" t="s">
        <v>48</v>
      </c>
      <c r="P136" s="176" t="s">
        <v>48</v>
      </c>
      <c r="Q136" s="472" t="s">
        <v>82</v>
      </c>
      <c r="R136" s="472" t="s">
        <v>390</v>
      </c>
      <c r="S136" s="81">
        <f t="shared" si="103"/>
        <v>76</v>
      </c>
      <c r="T136" s="472">
        <v>80</v>
      </c>
      <c r="U136" s="472">
        <v>0</v>
      </c>
      <c r="V136" s="472">
        <v>76</v>
      </c>
      <c r="W136" s="472" t="s">
        <v>370</v>
      </c>
      <c r="X136" s="472"/>
      <c r="Y136" s="472"/>
      <c r="Z136" s="176" t="s">
        <v>52</v>
      </c>
      <c r="AA136" s="176" t="s">
        <v>52</v>
      </c>
      <c r="AB136" s="176" t="s">
        <v>52</v>
      </c>
      <c r="AC136" s="176" t="s">
        <v>52</v>
      </c>
      <c r="AD136" s="176" t="s">
        <v>52</v>
      </c>
      <c r="AE136" s="176" t="s">
        <v>371</v>
      </c>
      <c r="AF136" s="176" t="s">
        <v>371</v>
      </c>
      <c r="AG136" s="472" t="s">
        <v>438</v>
      </c>
      <c r="AH136" s="472" t="s">
        <v>86</v>
      </c>
      <c r="AI136" s="472" t="s">
        <v>48</v>
      </c>
      <c r="AJ136" s="472" t="s">
        <v>86</v>
      </c>
      <c r="AK136" s="472"/>
      <c r="AL136" s="472" t="s">
        <v>372</v>
      </c>
      <c r="AM136" s="472"/>
      <c r="AN136" s="472" t="s">
        <v>404</v>
      </c>
      <c r="AO136" s="472"/>
      <c r="AP136" s="472"/>
      <c r="AQ136" s="472"/>
      <c r="AR136" s="135">
        <f>COUNTIF(B:B,B136)</f>
        <v>1</v>
      </c>
      <c r="AS136" s="135" t="str">
        <f t="shared" si="33"/>
        <v>2022_04_26_a</v>
      </c>
      <c r="AT136" s="136"/>
      <c r="AU136" s="135" t="str">
        <f t="shared" si="34"/>
        <v>2022</v>
      </c>
      <c r="AV136" s="135" t="str">
        <f t="shared" si="35"/>
        <v>04</v>
      </c>
      <c r="AW136" s="135" t="str">
        <f t="shared" si="36"/>
        <v>26</v>
      </c>
      <c r="AX136" s="135">
        <f t="shared" si="37"/>
        <v>44677</v>
      </c>
      <c r="AY136" s="137"/>
      <c r="AZ136" s="138">
        <f t="shared" si="38"/>
        <v>44677</v>
      </c>
      <c r="BA136" s="135" t="b">
        <f t="shared" si="39"/>
        <v>1</v>
      </c>
      <c r="BB136" s="135">
        <f t="shared" si="40"/>
        <v>44677</v>
      </c>
      <c r="BC136" s="135" t="str">
        <f t="shared" si="41"/>
        <v>no</v>
      </c>
      <c r="BD136" s="135" t="b">
        <f t="shared" si="42"/>
        <v>0</v>
      </c>
      <c r="BE136" s="139" t="s">
        <v>59</v>
      </c>
      <c r="BF136" s="136"/>
    </row>
    <row r="137" spans="1:58" s="149" customFormat="1" ht="154">
      <c r="A137" s="171"/>
      <c r="B137" s="38" t="s">
        <v>439</v>
      </c>
      <c r="C137" s="472"/>
      <c r="D137" s="173">
        <v>10272871</v>
      </c>
      <c r="E137" s="471" t="s">
        <v>376</v>
      </c>
      <c r="F137" s="471" t="s">
        <v>366</v>
      </c>
      <c r="G137" s="174">
        <v>44682</v>
      </c>
      <c r="H137" s="175">
        <v>44684</v>
      </c>
      <c r="I137" s="176">
        <v>44694</v>
      </c>
      <c r="J137" s="175">
        <v>44683</v>
      </c>
      <c r="K137" s="174">
        <v>44773</v>
      </c>
      <c r="L137" s="174">
        <v>44682</v>
      </c>
      <c r="M137" s="176">
        <v>44690</v>
      </c>
      <c r="N137" s="176">
        <v>44694</v>
      </c>
      <c r="O137" s="176" t="s">
        <v>48</v>
      </c>
      <c r="P137" s="176" t="s">
        <v>48</v>
      </c>
      <c r="Q137" s="472" t="s">
        <v>82</v>
      </c>
      <c r="R137" s="472" t="s">
        <v>390</v>
      </c>
      <c r="S137" s="81">
        <f t="shared" si="103"/>
        <v>70</v>
      </c>
      <c r="T137" s="472">
        <v>80</v>
      </c>
      <c r="U137" s="472">
        <v>0</v>
      </c>
      <c r="V137" s="472">
        <v>70</v>
      </c>
      <c r="W137" s="472" t="s">
        <v>370</v>
      </c>
      <c r="X137" s="472"/>
      <c r="Y137" s="472"/>
      <c r="Z137" s="176" t="s">
        <v>52</v>
      </c>
      <c r="AA137" s="176" t="s">
        <v>52</v>
      </c>
      <c r="AB137" s="176" t="s">
        <v>52</v>
      </c>
      <c r="AC137" s="176" t="s">
        <v>52</v>
      </c>
      <c r="AD137" s="176" t="s">
        <v>52</v>
      </c>
      <c r="AE137" s="176" t="s">
        <v>371</v>
      </c>
      <c r="AF137" s="176" t="s">
        <v>371</v>
      </c>
      <c r="AG137" s="472" t="s">
        <v>438</v>
      </c>
      <c r="AH137" s="472" t="s">
        <v>86</v>
      </c>
      <c r="AI137" s="472" t="s">
        <v>48</v>
      </c>
      <c r="AJ137" s="472" t="s">
        <v>86</v>
      </c>
      <c r="AK137" s="472"/>
      <c r="AL137" s="472" t="s">
        <v>372</v>
      </c>
      <c r="AM137" s="472"/>
      <c r="AN137" s="472" t="s">
        <v>404</v>
      </c>
      <c r="AO137" s="472"/>
      <c r="AP137" s="472"/>
      <c r="AQ137" s="472"/>
      <c r="AR137" s="135">
        <f>COUNTIF(B:B,B137)</f>
        <v>1</v>
      </c>
      <c r="AS137" s="135" t="str">
        <f t="shared" si="33"/>
        <v>2022_05_03_a</v>
      </c>
      <c r="AT137" s="136"/>
      <c r="AU137" s="135" t="str">
        <f t="shared" si="34"/>
        <v>2022</v>
      </c>
      <c r="AV137" s="135" t="str">
        <f t="shared" si="35"/>
        <v>05</v>
      </c>
      <c r="AW137" s="135" t="str">
        <f t="shared" si="36"/>
        <v>03</v>
      </c>
      <c r="AX137" s="135">
        <f t="shared" si="37"/>
        <v>44684</v>
      </c>
      <c r="AY137" s="137"/>
      <c r="AZ137" s="138">
        <f t="shared" si="38"/>
        <v>44684</v>
      </c>
      <c r="BA137" s="135" t="b">
        <f t="shared" si="39"/>
        <v>1</v>
      </c>
      <c r="BB137" s="135">
        <f t="shared" si="40"/>
        <v>44684</v>
      </c>
      <c r="BC137" s="135" t="str">
        <f t="shared" si="41"/>
        <v>no</v>
      </c>
      <c r="BD137" s="135" t="b">
        <f t="shared" si="42"/>
        <v>0</v>
      </c>
      <c r="BE137" s="139" t="s">
        <v>59</v>
      </c>
      <c r="BF137" s="136"/>
    </row>
    <row r="138" spans="1:58" s="149" customFormat="1" ht="154">
      <c r="A138" s="171"/>
      <c r="B138" s="38" t="s">
        <v>440</v>
      </c>
      <c r="C138" s="472"/>
      <c r="D138" s="173">
        <v>10268706</v>
      </c>
      <c r="E138" s="471" t="s">
        <v>376</v>
      </c>
      <c r="F138" s="471" t="s">
        <v>366</v>
      </c>
      <c r="G138" s="174" t="s">
        <v>441</v>
      </c>
      <c r="H138" s="175">
        <v>44697</v>
      </c>
      <c r="I138" s="176">
        <v>44708</v>
      </c>
      <c r="J138" s="175">
        <v>44683</v>
      </c>
      <c r="K138" s="174">
        <v>44773</v>
      </c>
      <c r="L138" s="174" t="s">
        <v>441</v>
      </c>
      <c r="M138" s="176">
        <v>44704</v>
      </c>
      <c r="N138" s="176">
        <v>44708</v>
      </c>
      <c r="O138" s="176" t="s">
        <v>48</v>
      </c>
      <c r="P138" s="176" t="s">
        <v>48</v>
      </c>
      <c r="Q138" s="472" t="s">
        <v>82</v>
      </c>
      <c r="R138" s="472" t="s">
        <v>390</v>
      </c>
      <c r="S138" s="81">
        <f t="shared" si="103"/>
        <v>99</v>
      </c>
      <c r="T138" s="472">
        <v>100</v>
      </c>
      <c r="U138" s="472">
        <v>0</v>
      </c>
      <c r="V138" s="472">
        <v>99</v>
      </c>
      <c r="W138" s="472" t="s">
        <v>370</v>
      </c>
      <c r="X138" s="472"/>
      <c r="Y138" s="472"/>
      <c r="Z138" s="176" t="s">
        <v>52</v>
      </c>
      <c r="AA138" s="176" t="s">
        <v>52</v>
      </c>
      <c r="AB138" s="176" t="s">
        <v>52</v>
      </c>
      <c r="AC138" s="176" t="s">
        <v>52</v>
      </c>
      <c r="AD138" s="176" t="s">
        <v>52</v>
      </c>
      <c r="AE138" s="176" t="s">
        <v>371</v>
      </c>
      <c r="AF138" s="176" t="s">
        <v>371</v>
      </c>
      <c r="AG138" s="472" t="s">
        <v>438</v>
      </c>
      <c r="AH138" s="472" t="s">
        <v>86</v>
      </c>
      <c r="AI138" s="472" t="s">
        <v>48</v>
      </c>
      <c r="AJ138" s="472" t="s">
        <v>86</v>
      </c>
      <c r="AK138" s="472"/>
      <c r="AL138" s="472" t="s">
        <v>372</v>
      </c>
      <c r="AM138" s="472"/>
      <c r="AN138" s="472" t="s">
        <v>404</v>
      </c>
      <c r="AO138" s="472"/>
      <c r="AP138" s="472"/>
      <c r="AQ138" s="472"/>
      <c r="AR138" s="135">
        <f>COUNTIF(B:B,B138)</f>
        <v>1</v>
      </c>
      <c r="AS138" s="135" t="str">
        <f t="shared" si="33"/>
        <v>2022_05_16_a</v>
      </c>
      <c r="AT138" s="136"/>
      <c r="AU138" s="135" t="str">
        <f t="shared" si="34"/>
        <v>2022</v>
      </c>
      <c r="AV138" s="135" t="str">
        <f t="shared" si="35"/>
        <v>05</v>
      </c>
      <c r="AW138" s="135" t="str">
        <f t="shared" si="36"/>
        <v>16</v>
      </c>
      <c r="AX138" s="135">
        <f t="shared" si="37"/>
        <v>44697</v>
      </c>
      <c r="AY138" s="137"/>
      <c r="AZ138" s="138">
        <f t="shared" si="38"/>
        <v>44697</v>
      </c>
      <c r="BA138" s="135" t="b">
        <f t="shared" si="39"/>
        <v>1</v>
      </c>
      <c r="BB138" s="135">
        <f t="shared" si="40"/>
        <v>44697</v>
      </c>
      <c r="BC138" s="135" t="str">
        <f t="shared" si="41"/>
        <v>no</v>
      </c>
      <c r="BD138" s="135" t="b">
        <f t="shared" si="42"/>
        <v>0</v>
      </c>
      <c r="BE138" s="139" t="s">
        <v>59</v>
      </c>
      <c r="BF138" s="136"/>
    </row>
    <row r="139" spans="1:58" s="149" customFormat="1" ht="154">
      <c r="A139" s="171"/>
      <c r="B139" s="38" t="s">
        <v>442</v>
      </c>
      <c r="C139" s="472"/>
      <c r="D139" s="173">
        <v>10276762</v>
      </c>
      <c r="E139" s="471" t="s">
        <v>376</v>
      </c>
      <c r="F139" s="471" t="s">
        <v>366</v>
      </c>
      <c r="G139" s="174" t="s">
        <v>443</v>
      </c>
      <c r="H139" s="175">
        <v>44726</v>
      </c>
      <c r="I139" s="176">
        <v>44736</v>
      </c>
      <c r="J139" s="175">
        <v>44739</v>
      </c>
      <c r="K139" s="174">
        <v>44804</v>
      </c>
      <c r="L139" s="174" t="s">
        <v>443</v>
      </c>
      <c r="M139" s="176">
        <v>44732</v>
      </c>
      <c r="N139" s="176">
        <v>44736</v>
      </c>
      <c r="O139" s="176" t="s">
        <v>48</v>
      </c>
      <c r="P139" s="176" t="s">
        <v>48</v>
      </c>
      <c r="Q139" s="472" t="s">
        <v>82</v>
      </c>
      <c r="R139" s="472" t="s">
        <v>390</v>
      </c>
      <c r="S139" s="81">
        <f t="shared" si="103"/>
        <v>34</v>
      </c>
      <c r="T139" s="472">
        <v>45</v>
      </c>
      <c r="U139" s="472">
        <v>0</v>
      </c>
      <c r="V139" s="472">
        <v>34</v>
      </c>
      <c r="W139" s="472" t="s">
        <v>370</v>
      </c>
      <c r="X139" s="472"/>
      <c r="Y139" s="472"/>
      <c r="Z139" s="176" t="s">
        <v>52</v>
      </c>
      <c r="AA139" s="176" t="s">
        <v>52</v>
      </c>
      <c r="AB139" s="176" t="s">
        <v>52</v>
      </c>
      <c r="AC139" s="176" t="s">
        <v>52</v>
      </c>
      <c r="AD139" s="176" t="s">
        <v>52</v>
      </c>
      <c r="AE139" s="176" t="s">
        <v>371</v>
      </c>
      <c r="AF139" s="176" t="s">
        <v>371</v>
      </c>
      <c r="AG139" s="472" t="s">
        <v>438</v>
      </c>
      <c r="AH139" s="472" t="s">
        <v>86</v>
      </c>
      <c r="AI139" s="472" t="s">
        <v>48</v>
      </c>
      <c r="AJ139" s="472" t="s">
        <v>86</v>
      </c>
      <c r="AK139" s="472"/>
      <c r="AL139" s="472" t="s">
        <v>372</v>
      </c>
      <c r="AM139" s="472"/>
      <c r="AN139" s="472" t="s">
        <v>404</v>
      </c>
      <c r="AO139" s="472"/>
      <c r="AP139" s="472"/>
      <c r="AQ139" s="472"/>
      <c r="AR139" s="135">
        <f>COUNTIF(B:B,B139)</f>
        <v>1</v>
      </c>
      <c r="AS139" s="135" t="str">
        <f t="shared" si="33"/>
        <v>2022_06_14_a</v>
      </c>
      <c r="AT139" s="136"/>
      <c r="AU139" s="135" t="str">
        <f t="shared" si="34"/>
        <v>2022</v>
      </c>
      <c r="AV139" s="135" t="str">
        <f t="shared" si="35"/>
        <v>06</v>
      </c>
      <c r="AW139" s="135" t="str">
        <f t="shared" si="36"/>
        <v>14</v>
      </c>
      <c r="AX139" s="135">
        <f t="shared" si="37"/>
        <v>44726</v>
      </c>
      <c r="AY139" s="137"/>
      <c r="AZ139" s="138">
        <f t="shared" si="38"/>
        <v>44726</v>
      </c>
      <c r="BA139" s="135" t="b">
        <f t="shared" si="39"/>
        <v>1</v>
      </c>
      <c r="BB139" s="135">
        <f t="shared" si="40"/>
        <v>44726</v>
      </c>
      <c r="BC139" s="135" t="str">
        <f t="shared" si="41"/>
        <v>no</v>
      </c>
      <c r="BD139" s="135" t="b">
        <f t="shared" si="42"/>
        <v>0</v>
      </c>
      <c r="BE139" s="139" t="s">
        <v>59</v>
      </c>
      <c r="BF139" s="136"/>
    </row>
    <row r="140" spans="1:58" s="149" customFormat="1" ht="154">
      <c r="A140" s="171"/>
      <c r="B140" s="38" t="s">
        <v>444</v>
      </c>
      <c r="C140" s="472"/>
      <c r="D140" s="173">
        <v>10283910</v>
      </c>
      <c r="E140" s="471" t="s">
        <v>376</v>
      </c>
      <c r="F140" s="471" t="s">
        <v>366</v>
      </c>
      <c r="G140" s="174" t="s">
        <v>445</v>
      </c>
      <c r="H140" s="175">
        <v>44760</v>
      </c>
      <c r="I140" s="176">
        <v>44771</v>
      </c>
      <c r="J140" s="175">
        <v>44774</v>
      </c>
      <c r="K140" s="174">
        <v>44834</v>
      </c>
      <c r="L140" s="174" t="s">
        <v>445</v>
      </c>
      <c r="M140" s="176">
        <v>44767</v>
      </c>
      <c r="N140" s="176">
        <v>44771</v>
      </c>
      <c r="O140" s="176" t="s">
        <v>48</v>
      </c>
      <c r="P140" s="176" t="s">
        <v>48</v>
      </c>
      <c r="Q140" s="472" t="s">
        <v>93</v>
      </c>
      <c r="R140" s="472" t="s">
        <v>390</v>
      </c>
      <c r="S140" s="81">
        <f t="shared" si="103"/>
        <v>52</v>
      </c>
      <c r="T140" s="472">
        <v>55</v>
      </c>
      <c r="U140" s="472">
        <v>0</v>
      </c>
      <c r="V140" s="472">
        <v>52</v>
      </c>
      <c r="W140" s="472" t="s">
        <v>370</v>
      </c>
      <c r="X140" s="472"/>
      <c r="Y140" s="472"/>
      <c r="Z140" s="176" t="s">
        <v>52</v>
      </c>
      <c r="AA140" s="176" t="s">
        <v>52</v>
      </c>
      <c r="AB140" s="176" t="s">
        <v>52</v>
      </c>
      <c r="AC140" s="176" t="s">
        <v>52</v>
      </c>
      <c r="AD140" s="176" t="s">
        <v>52</v>
      </c>
      <c r="AE140" s="176" t="s">
        <v>371</v>
      </c>
      <c r="AF140" s="176" t="s">
        <v>371</v>
      </c>
      <c r="AG140" s="472" t="s">
        <v>438</v>
      </c>
      <c r="AH140" s="472" t="s">
        <v>86</v>
      </c>
      <c r="AI140" s="472" t="s">
        <v>48</v>
      </c>
      <c r="AJ140" s="472" t="s">
        <v>86</v>
      </c>
      <c r="AK140" s="472"/>
      <c r="AL140" s="472" t="s">
        <v>372</v>
      </c>
      <c r="AM140" s="472"/>
      <c r="AN140" s="472" t="s">
        <v>404</v>
      </c>
      <c r="AO140" s="472"/>
      <c r="AP140" s="472"/>
      <c r="AQ140" s="472"/>
      <c r="AR140" s="135">
        <f>COUNTIF(B:B,B140)</f>
        <v>1</v>
      </c>
      <c r="AS140" s="135" t="str">
        <f t="shared" ref="AS140:AS208" si="104">IFERROR(RIGHT(B140,16-SEARCH("_", B140)),0)</f>
        <v>2022_07_18_a</v>
      </c>
      <c r="AT140" s="136"/>
      <c r="AU140" s="135" t="str">
        <f t="shared" ref="AU140:AU208" si="105">LEFT(AS140,4)</f>
        <v>2022</v>
      </c>
      <c r="AV140" s="135" t="str">
        <f t="shared" ref="AV140:AV208" si="106">MID(AS140,6,2)</f>
        <v>07</v>
      </c>
      <c r="AW140" s="135" t="str">
        <f t="shared" ref="AW140:AW208" si="107">MID(AS140,9,2)</f>
        <v>18</v>
      </c>
      <c r="AX140" s="135">
        <f t="shared" ref="AX140:AX208" si="108">IFERROR(DATE(AU140,AV140,AW140)," ")</f>
        <v>44760</v>
      </c>
      <c r="AY140" s="137"/>
      <c r="AZ140" s="138">
        <f t="shared" ref="AZ140:AZ208" si="109">H140</f>
        <v>44760</v>
      </c>
      <c r="BA140" s="135" t="b">
        <f t="shared" ref="BA140:BA208" si="110">IF(AX140=" "," ",AX140=AZ140)</f>
        <v>1</v>
      </c>
      <c r="BB140" s="135">
        <f t="shared" ref="BB140:BB208" si="111">IF(BC140="YES"," ",AZ140)</f>
        <v>44760</v>
      </c>
      <c r="BC140" s="135" t="str">
        <f t="shared" ref="BC140:BC208" si="112">IF(AM140="Apprentice","yes","no")</f>
        <v>no</v>
      </c>
      <c r="BD140" s="135" t="b">
        <f t="shared" ref="BD140:BD208" si="113">IF(OR(U140&lt;&gt;"0", V140&lt;&gt;"0"),U140=V140," ")</f>
        <v>0</v>
      </c>
      <c r="BE140" s="139" t="s">
        <v>59</v>
      </c>
      <c r="BF140" s="136"/>
    </row>
    <row r="141" spans="1:58" s="149" customFormat="1" ht="154">
      <c r="A141" s="171"/>
      <c r="B141" s="38" t="s">
        <v>446</v>
      </c>
      <c r="C141" s="472"/>
      <c r="D141" s="173">
        <v>10297123</v>
      </c>
      <c r="E141" s="471" t="s">
        <v>376</v>
      </c>
      <c r="F141" s="471" t="s">
        <v>366</v>
      </c>
      <c r="G141" s="174" t="s">
        <v>447</v>
      </c>
      <c r="H141" s="175">
        <v>44789</v>
      </c>
      <c r="I141" s="176" t="s">
        <v>448</v>
      </c>
      <c r="J141" s="175">
        <v>44802</v>
      </c>
      <c r="K141" s="174">
        <v>44865</v>
      </c>
      <c r="L141" s="174" t="s">
        <v>447</v>
      </c>
      <c r="M141" s="176" t="s">
        <v>449</v>
      </c>
      <c r="N141" s="176">
        <v>44799</v>
      </c>
      <c r="O141" s="176" t="s">
        <v>48</v>
      </c>
      <c r="P141" s="176" t="s">
        <v>48</v>
      </c>
      <c r="Q141" s="472" t="s">
        <v>93</v>
      </c>
      <c r="R141" s="472" t="s">
        <v>390</v>
      </c>
      <c r="S141" s="81">
        <f t="shared" si="103"/>
        <v>38</v>
      </c>
      <c r="T141" s="472">
        <v>30</v>
      </c>
      <c r="U141" s="472">
        <v>0</v>
      </c>
      <c r="V141" s="472">
        <v>38</v>
      </c>
      <c r="W141" s="472" t="s">
        <v>370</v>
      </c>
      <c r="X141" s="472"/>
      <c r="Y141" s="472"/>
      <c r="Z141" s="176" t="s">
        <v>52</v>
      </c>
      <c r="AA141" s="176" t="s">
        <v>52</v>
      </c>
      <c r="AB141" s="176" t="s">
        <v>52</v>
      </c>
      <c r="AC141" s="176" t="s">
        <v>52</v>
      </c>
      <c r="AD141" s="176" t="s">
        <v>52</v>
      </c>
      <c r="AE141" s="176" t="s">
        <v>371</v>
      </c>
      <c r="AF141" s="176" t="s">
        <v>371</v>
      </c>
      <c r="AG141" s="472" t="s">
        <v>438</v>
      </c>
      <c r="AH141" s="472" t="s">
        <v>86</v>
      </c>
      <c r="AI141" s="472" t="s">
        <v>48</v>
      </c>
      <c r="AJ141" s="472" t="s">
        <v>86</v>
      </c>
      <c r="AK141" s="472"/>
      <c r="AL141" s="472" t="s">
        <v>372</v>
      </c>
      <c r="AM141" s="472"/>
      <c r="AN141" s="472" t="s">
        <v>404</v>
      </c>
      <c r="AO141" s="472"/>
      <c r="AP141" s="472"/>
      <c r="AQ141" s="472"/>
      <c r="AR141" s="135">
        <f>COUNTIF(B:B,B141)</f>
        <v>1</v>
      </c>
      <c r="AS141" s="135" t="str">
        <f t="shared" si="104"/>
        <v>2022_08_16_a</v>
      </c>
      <c r="AT141" s="136"/>
      <c r="AU141" s="135" t="str">
        <f t="shared" si="105"/>
        <v>2022</v>
      </c>
      <c r="AV141" s="135" t="str">
        <f t="shared" si="106"/>
        <v>08</v>
      </c>
      <c r="AW141" s="135" t="str">
        <f t="shared" si="107"/>
        <v>16</v>
      </c>
      <c r="AX141" s="135">
        <f t="shared" si="108"/>
        <v>44789</v>
      </c>
      <c r="AY141" s="137"/>
      <c r="AZ141" s="138">
        <f t="shared" si="109"/>
        <v>44789</v>
      </c>
      <c r="BA141" s="135" t="b">
        <f t="shared" si="110"/>
        <v>1</v>
      </c>
      <c r="BB141" s="135">
        <f t="shared" si="111"/>
        <v>44789</v>
      </c>
      <c r="BC141" s="135" t="str">
        <f t="shared" si="112"/>
        <v>no</v>
      </c>
      <c r="BD141" s="135" t="b">
        <f t="shared" si="113"/>
        <v>0</v>
      </c>
      <c r="BE141" s="139" t="s">
        <v>59</v>
      </c>
      <c r="BF141" s="136"/>
    </row>
    <row r="142" spans="1:58" s="149" customFormat="1" ht="154">
      <c r="A142" s="171"/>
      <c r="B142" s="472" t="s">
        <v>450</v>
      </c>
      <c r="C142" s="472"/>
      <c r="D142" s="173">
        <v>10248337</v>
      </c>
      <c r="E142" s="471" t="s">
        <v>376</v>
      </c>
      <c r="F142" s="471" t="s">
        <v>366</v>
      </c>
      <c r="G142" s="174" t="s">
        <v>451</v>
      </c>
      <c r="H142" s="175">
        <v>44823</v>
      </c>
      <c r="I142" s="176" t="s">
        <v>452</v>
      </c>
      <c r="J142" s="175">
        <v>44837</v>
      </c>
      <c r="K142" s="174">
        <v>44895</v>
      </c>
      <c r="L142" s="174" t="s">
        <v>451</v>
      </c>
      <c r="M142" s="176" t="s">
        <v>453</v>
      </c>
      <c r="N142" s="176">
        <v>44834</v>
      </c>
      <c r="O142" s="176" t="s">
        <v>48</v>
      </c>
      <c r="P142" s="176" t="s">
        <v>48</v>
      </c>
      <c r="Q142" s="472" t="s">
        <v>93</v>
      </c>
      <c r="R142" s="472" t="s">
        <v>454</v>
      </c>
      <c r="S142" s="81">
        <f t="shared" si="103"/>
        <v>83</v>
      </c>
      <c r="T142" s="472">
        <v>85</v>
      </c>
      <c r="U142" s="472">
        <v>0</v>
      </c>
      <c r="V142" s="472">
        <v>83</v>
      </c>
      <c r="W142" s="472" t="s">
        <v>370</v>
      </c>
      <c r="X142" s="472"/>
      <c r="Y142" s="472"/>
      <c r="Z142" s="176" t="s">
        <v>52</v>
      </c>
      <c r="AA142" s="176" t="s">
        <v>52</v>
      </c>
      <c r="AB142" s="176" t="s">
        <v>52</v>
      </c>
      <c r="AC142" s="176" t="s">
        <v>52</v>
      </c>
      <c r="AD142" s="176" t="s">
        <v>52</v>
      </c>
      <c r="AE142" s="176" t="s">
        <v>371</v>
      </c>
      <c r="AF142" s="176" t="s">
        <v>371</v>
      </c>
      <c r="AG142" s="472" t="s">
        <v>438</v>
      </c>
      <c r="AH142" s="472" t="s">
        <v>86</v>
      </c>
      <c r="AI142" s="472" t="s">
        <v>48</v>
      </c>
      <c r="AJ142" s="472" t="s">
        <v>86</v>
      </c>
      <c r="AK142" s="472"/>
      <c r="AL142" s="472" t="s">
        <v>372</v>
      </c>
      <c r="AM142" s="472"/>
      <c r="AN142" s="472" t="s">
        <v>404</v>
      </c>
      <c r="AO142" s="472"/>
      <c r="AP142" s="472"/>
      <c r="AQ142" s="472"/>
      <c r="AR142" s="135">
        <f>COUNTIF(B:B,B142)</f>
        <v>1</v>
      </c>
      <c r="AS142" s="135" t="str">
        <f t="shared" si="104"/>
        <v>2022_09_19_a</v>
      </c>
      <c r="AT142" s="136"/>
      <c r="AU142" s="135" t="str">
        <f t="shared" si="105"/>
        <v>2022</v>
      </c>
      <c r="AV142" s="135" t="str">
        <f t="shared" si="106"/>
        <v>09</v>
      </c>
      <c r="AW142" s="135" t="str">
        <f t="shared" si="107"/>
        <v>19</v>
      </c>
      <c r="AX142" s="135">
        <f t="shared" si="108"/>
        <v>44823</v>
      </c>
      <c r="AY142" s="137"/>
      <c r="AZ142" s="138">
        <f t="shared" si="109"/>
        <v>44823</v>
      </c>
      <c r="BA142" s="135" t="b">
        <f t="shared" si="110"/>
        <v>1</v>
      </c>
      <c r="BB142" s="135">
        <f t="shared" si="111"/>
        <v>44823</v>
      </c>
      <c r="BC142" s="135" t="str">
        <f t="shared" si="112"/>
        <v>no</v>
      </c>
      <c r="BD142" s="135" t="b">
        <f t="shared" si="113"/>
        <v>0</v>
      </c>
      <c r="BE142" s="139" t="s">
        <v>59</v>
      </c>
      <c r="BF142" s="136"/>
    </row>
    <row r="143" spans="1:58" s="149" customFormat="1" ht="154">
      <c r="A143" s="171"/>
      <c r="B143" s="472" t="s">
        <v>455</v>
      </c>
      <c r="C143" s="472"/>
      <c r="D143" s="173">
        <v>10248337</v>
      </c>
      <c r="E143" s="471" t="s">
        <v>376</v>
      </c>
      <c r="F143" s="471" t="s">
        <v>366</v>
      </c>
      <c r="G143" s="174" t="s">
        <v>456</v>
      </c>
      <c r="H143" s="175">
        <v>44844</v>
      </c>
      <c r="I143" s="176">
        <v>44855</v>
      </c>
      <c r="J143" s="175">
        <v>44858</v>
      </c>
      <c r="K143" s="174">
        <v>44926</v>
      </c>
      <c r="L143" s="174" t="s">
        <v>456</v>
      </c>
      <c r="M143" s="176">
        <v>44851</v>
      </c>
      <c r="N143" s="176">
        <v>44855</v>
      </c>
      <c r="O143" s="176" t="s">
        <v>48</v>
      </c>
      <c r="P143" s="176" t="s">
        <v>48</v>
      </c>
      <c r="Q143" s="472" t="s">
        <v>106</v>
      </c>
      <c r="R143" s="472" t="s">
        <v>457</v>
      </c>
      <c r="S143" s="81">
        <f t="shared" si="103"/>
        <v>27</v>
      </c>
      <c r="T143" s="472">
        <v>30</v>
      </c>
      <c r="U143" s="472">
        <v>0</v>
      </c>
      <c r="V143" s="472">
        <v>27</v>
      </c>
      <c r="W143" s="472" t="s">
        <v>370</v>
      </c>
      <c r="X143" s="472"/>
      <c r="Y143" s="472"/>
      <c r="Z143" s="176" t="s">
        <v>52</v>
      </c>
      <c r="AA143" s="176" t="s">
        <v>52</v>
      </c>
      <c r="AB143" s="176" t="s">
        <v>52</v>
      </c>
      <c r="AC143" s="176" t="s">
        <v>52</v>
      </c>
      <c r="AD143" s="176" t="s">
        <v>52</v>
      </c>
      <c r="AE143" s="176" t="s">
        <v>371</v>
      </c>
      <c r="AF143" s="176" t="s">
        <v>371</v>
      </c>
      <c r="AG143" s="472" t="s">
        <v>438</v>
      </c>
      <c r="AH143" s="472" t="s">
        <v>86</v>
      </c>
      <c r="AI143" s="472" t="s">
        <v>48</v>
      </c>
      <c r="AJ143" s="472" t="s">
        <v>86</v>
      </c>
      <c r="AK143" s="472"/>
      <c r="AL143" s="472" t="s">
        <v>372</v>
      </c>
      <c r="AM143" s="472"/>
      <c r="AN143" s="472" t="s">
        <v>404</v>
      </c>
      <c r="AO143" s="472"/>
      <c r="AP143" s="472"/>
      <c r="AQ143" s="472"/>
      <c r="AR143" s="135">
        <f>COUNTIF(B:B,B143)</f>
        <v>1</v>
      </c>
      <c r="AS143" s="135" t="str">
        <f t="shared" si="104"/>
        <v>2022_10_10_a</v>
      </c>
      <c r="AT143" s="136"/>
      <c r="AU143" s="135" t="str">
        <f t="shared" si="105"/>
        <v>2022</v>
      </c>
      <c r="AV143" s="135" t="str">
        <f t="shared" si="106"/>
        <v>10</v>
      </c>
      <c r="AW143" s="135" t="str">
        <f t="shared" si="107"/>
        <v>10</v>
      </c>
      <c r="AX143" s="135">
        <f t="shared" si="108"/>
        <v>44844</v>
      </c>
      <c r="AY143" s="137"/>
      <c r="AZ143" s="138">
        <f t="shared" si="109"/>
        <v>44844</v>
      </c>
      <c r="BA143" s="135" t="b">
        <f t="shared" si="110"/>
        <v>1</v>
      </c>
      <c r="BB143" s="135">
        <f t="shared" si="111"/>
        <v>44844</v>
      </c>
      <c r="BC143" s="135" t="str">
        <f t="shared" si="112"/>
        <v>no</v>
      </c>
      <c r="BD143" s="135" t="b">
        <f t="shared" si="113"/>
        <v>0</v>
      </c>
      <c r="BE143" s="139" t="s">
        <v>59</v>
      </c>
      <c r="BF143" s="136"/>
    </row>
    <row r="144" spans="1:58" s="149" customFormat="1" ht="154">
      <c r="A144" s="171"/>
      <c r="B144" s="472" t="s">
        <v>458</v>
      </c>
      <c r="C144" s="472"/>
      <c r="D144" s="173">
        <v>10323856</v>
      </c>
      <c r="E144" s="471" t="s">
        <v>376</v>
      </c>
      <c r="F144" s="471" t="s">
        <v>366</v>
      </c>
      <c r="G144" s="174" t="s">
        <v>459</v>
      </c>
      <c r="H144" s="175">
        <v>44900</v>
      </c>
      <c r="I144" s="176">
        <v>44911</v>
      </c>
      <c r="J144" s="175">
        <v>44914</v>
      </c>
      <c r="K144" s="174">
        <v>44985</v>
      </c>
      <c r="L144" s="174" t="s">
        <v>460</v>
      </c>
      <c r="M144" s="176">
        <v>44907</v>
      </c>
      <c r="N144" s="176">
        <v>44911</v>
      </c>
      <c r="O144" s="176" t="s">
        <v>48</v>
      </c>
      <c r="P144" s="176" t="s">
        <v>48</v>
      </c>
      <c r="Q144" s="472" t="s">
        <v>106</v>
      </c>
      <c r="R144" s="472" t="s">
        <v>461</v>
      </c>
      <c r="S144" s="81">
        <f t="shared" si="103"/>
        <v>41</v>
      </c>
      <c r="T144" s="472">
        <v>45</v>
      </c>
      <c r="U144" s="472">
        <v>0</v>
      </c>
      <c r="V144" s="472">
        <v>41</v>
      </c>
      <c r="W144" s="472" t="s">
        <v>370</v>
      </c>
      <c r="X144" s="472"/>
      <c r="Y144" s="472"/>
      <c r="Z144" s="176" t="s">
        <v>52</v>
      </c>
      <c r="AA144" s="176" t="s">
        <v>52</v>
      </c>
      <c r="AB144" s="176" t="s">
        <v>52</v>
      </c>
      <c r="AC144" s="176" t="s">
        <v>52</v>
      </c>
      <c r="AD144" s="176" t="s">
        <v>52</v>
      </c>
      <c r="AE144" s="176" t="s">
        <v>371</v>
      </c>
      <c r="AF144" s="176" t="s">
        <v>371</v>
      </c>
      <c r="AG144" s="472" t="s">
        <v>438</v>
      </c>
      <c r="AH144" s="472" t="s">
        <v>283</v>
      </c>
      <c r="AI144" s="472" t="s">
        <v>48</v>
      </c>
      <c r="AJ144" s="472" t="s">
        <v>283</v>
      </c>
      <c r="AK144" s="472"/>
      <c r="AL144" s="472" t="s">
        <v>372</v>
      </c>
      <c r="AM144" s="472"/>
      <c r="AN144" s="472" t="s">
        <v>404</v>
      </c>
      <c r="AO144" s="472"/>
      <c r="AP144" s="472"/>
      <c r="AQ144" s="472"/>
      <c r="AR144" s="135">
        <f>COUNTIF(B:B,B144)</f>
        <v>1</v>
      </c>
      <c r="AS144" s="135" t="str">
        <f t="shared" ref="AS144:AS146" si="114">IFERROR(RIGHT(B144,16-SEARCH("_", B144)),0)</f>
        <v>2022_12_05_a</v>
      </c>
      <c r="AT144" s="136"/>
      <c r="AU144" s="135" t="str">
        <f t="shared" ref="AU144:AU146" si="115">LEFT(AS144,4)</f>
        <v>2022</v>
      </c>
      <c r="AV144" s="135" t="str">
        <f t="shared" ref="AV144:AV146" si="116">MID(AS144,6,2)</f>
        <v>12</v>
      </c>
      <c r="AW144" s="135" t="str">
        <f t="shared" ref="AW144:AW146" si="117">MID(AS144,9,2)</f>
        <v>05</v>
      </c>
      <c r="AX144" s="135">
        <f t="shared" ref="AX144:AX146" si="118">IFERROR(DATE(AU144,AV144,AW144)," ")</f>
        <v>44900</v>
      </c>
      <c r="AY144" s="137"/>
      <c r="AZ144" s="138">
        <f t="shared" ref="AZ144:AZ146" si="119">H144</f>
        <v>44900</v>
      </c>
      <c r="BA144" s="135" t="b">
        <f t="shared" ref="BA144:BA146" si="120">IF(AX144=" "," ",AX144=AZ144)</f>
        <v>1</v>
      </c>
      <c r="BB144" s="135">
        <f t="shared" ref="BB144:BB146" si="121">IF(BC144="YES"," ",AZ144)</f>
        <v>44900</v>
      </c>
      <c r="BC144" s="135" t="str">
        <f t="shared" ref="BC144:BC146" si="122">IF(AM144="Apprentice","yes","no")</f>
        <v>no</v>
      </c>
      <c r="BD144" s="135" t="b">
        <f t="shared" ref="BD144:BD146" si="123">IF(OR(U144&lt;&gt;"0", V144&lt;&gt;"0"),U144=V144," ")</f>
        <v>0</v>
      </c>
      <c r="BE144" s="139" t="s">
        <v>59</v>
      </c>
      <c r="BF144" s="136"/>
    </row>
    <row r="145" spans="1:58" s="149" customFormat="1" ht="154">
      <c r="A145" s="171"/>
      <c r="B145" s="472" t="s">
        <v>462</v>
      </c>
      <c r="C145" s="472"/>
      <c r="D145" s="173"/>
      <c r="E145" s="471" t="s">
        <v>376</v>
      </c>
      <c r="F145" s="471" t="s">
        <v>366</v>
      </c>
      <c r="G145" s="174" t="s">
        <v>463</v>
      </c>
      <c r="H145" s="175">
        <v>44970</v>
      </c>
      <c r="I145" s="176">
        <v>44981</v>
      </c>
      <c r="J145" s="175">
        <v>44984</v>
      </c>
      <c r="K145" s="174">
        <v>45046</v>
      </c>
      <c r="L145" s="174" t="s">
        <v>464</v>
      </c>
      <c r="M145" s="176">
        <v>44977</v>
      </c>
      <c r="N145" s="176">
        <v>44981</v>
      </c>
      <c r="O145" s="176" t="s">
        <v>48</v>
      </c>
      <c r="P145" s="176" t="s">
        <v>48</v>
      </c>
      <c r="Q145" s="472" t="s">
        <v>49</v>
      </c>
      <c r="R145" s="472" t="s">
        <v>465</v>
      </c>
      <c r="S145" s="81">
        <f t="shared" si="103"/>
        <v>37</v>
      </c>
      <c r="T145" s="472">
        <v>40</v>
      </c>
      <c r="U145" s="472">
        <v>0</v>
      </c>
      <c r="V145" s="472">
        <v>37</v>
      </c>
      <c r="W145" s="472" t="s">
        <v>370</v>
      </c>
      <c r="X145" s="472"/>
      <c r="Y145" s="472"/>
      <c r="Z145" s="176" t="s">
        <v>466</v>
      </c>
      <c r="AA145" s="176" t="s">
        <v>466</v>
      </c>
      <c r="AB145" s="176" t="s">
        <v>466</v>
      </c>
      <c r="AC145" s="176" t="s">
        <v>466</v>
      </c>
      <c r="AD145" s="176" t="s">
        <v>466</v>
      </c>
      <c r="AE145" s="176" t="s">
        <v>466</v>
      </c>
      <c r="AF145" s="176" t="s">
        <v>466</v>
      </c>
      <c r="AG145" s="472" t="s">
        <v>438</v>
      </c>
      <c r="AH145" s="472" t="s">
        <v>86</v>
      </c>
      <c r="AI145" s="472" t="s">
        <v>48</v>
      </c>
      <c r="AJ145" s="472" t="s">
        <v>86</v>
      </c>
      <c r="AK145" s="472"/>
      <c r="AL145" s="472" t="s">
        <v>372</v>
      </c>
      <c r="AM145" s="472"/>
      <c r="AN145" s="472" t="s">
        <v>404</v>
      </c>
      <c r="AO145" s="472"/>
      <c r="AP145" s="472"/>
      <c r="AQ145" s="472"/>
      <c r="AR145" s="135">
        <f>COUNTIF(B:B,B145)</f>
        <v>1</v>
      </c>
      <c r="AS145" s="135" t="str">
        <f t="shared" si="114"/>
        <v>2023_02_13_a</v>
      </c>
      <c r="AT145" s="136"/>
      <c r="AU145" s="135" t="str">
        <f t="shared" si="115"/>
        <v>2023</v>
      </c>
      <c r="AV145" s="135" t="str">
        <f t="shared" si="116"/>
        <v>02</v>
      </c>
      <c r="AW145" s="135" t="str">
        <f t="shared" si="117"/>
        <v>13</v>
      </c>
      <c r="AX145" s="135">
        <f t="shared" si="118"/>
        <v>44970</v>
      </c>
      <c r="AY145" s="137"/>
      <c r="AZ145" s="138">
        <f t="shared" si="119"/>
        <v>44970</v>
      </c>
      <c r="BA145" s="135" t="b">
        <f t="shared" si="120"/>
        <v>1</v>
      </c>
      <c r="BB145" s="135">
        <f t="shared" si="121"/>
        <v>44970</v>
      </c>
      <c r="BC145" s="135" t="str">
        <f t="shared" si="122"/>
        <v>no</v>
      </c>
      <c r="BD145" s="135" t="b">
        <f t="shared" si="123"/>
        <v>0</v>
      </c>
      <c r="BE145" s="139" t="s">
        <v>59</v>
      </c>
      <c r="BF145" s="136"/>
    </row>
    <row r="146" spans="1:58" s="126" customFormat="1" ht="154">
      <c r="A146" s="472" t="s">
        <v>422</v>
      </c>
      <c r="B146" s="472"/>
      <c r="C146" s="472"/>
      <c r="D146" s="472"/>
      <c r="E146" s="472"/>
      <c r="F146" s="492" t="s">
        <v>362</v>
      </c>
      <c r="G146" s="493"/>
      <c r="H146" s="493"/>
      <c r="I146" s="493"/>
      <c r="J146" s="493"/>
      <c r="K146" s="493"/>
      <c r="L146" s="493"/>
      <c r="M146" s="493"/>
      <c r="N146" s="493"/>
      <c r="O146" s="493"/>
      <c r="P146" s="493"/>
      <c r="Q146" s="493"/>
      <c r="R146" s="493"/>
      <c r="S146" s="472">
        <f>SUM(S124:S145)</f>
        <v>1045</v>
      </c>
      <c r="T146" s="472"/>
      <c r="U146" s="472">
        <f>SUMIFS(U124:U145, Z124:Z145, "=Complete")</f>
        <v>0</v>
      </c>
      <c r="V146" s="472">
        <f>SUM(V124:V145)</f>
        <v>1045</v>
      </c>
      <c r="W146" s="472"/>
      <c r="X146" s="472"/>
      <c r="Y146" s="472"/>
      <c r="Z146" s="472"/>
      <c r="AA146" s="472">
        <f>COUNTIFS(AA124:AA145, "=Complete")</f>
        <v>21</v>
      </c>
      <c r="AB146" s="472"/>
      <c r="AC146" s="472"/>
      <c r="AD146" s="472"/>
      <c r="AE146" s="472"/>
      <c r="AF146" s="472"/>
      <c r="AG146" s="472">
        <f>COUNTIFS(AG124:AG145, "=Legacy")</f>
        <v>0</v>
      </c>
      <c r="AH146" s="472">
        <f>COUNTIFS(AH124:AH142, "=Virtual")</f>
        <v>19</v>
      </c>
      <c r="AI146" s="472"/>
      <c r="AJ146" s="472"/>
      <c r="AK146" s="472"/>
      <c r="AL146" s="472"/>
      <c r="AM146" s="472"/>
      <c r="AN146" s="472"/>
      <c r="AO146" s="472"/>
      <c r="AP146" s="472"/>
      <c r="AQ146" s="472"/>
      <c r="AR146" s="135">
        <f>COUNTIF(B:B,B146)</f>
        <v>0</v>
      </c>
      <c r="AS146" s="135">
        <f t="shared" si="114"/>
        <v>0</v>
      </c>
      <c r="AT146" s="136"/>
      <c r="AU146" s="135" t="str">
        <f t="shared" si="115"/>
        <v>0</v>
      </c>
      <c r="AV146" s="135" t="str">
        <f t="shared" si="116"/>
        <v/>
      </c>
      <c r="AW146" s="135" t="str">
        <f t="shared" si="117"/>
        <v/>
      </c>
      <c r="AX146" s="135" t="str">
        <f t="shared" si="118"/>
        <v xml:space="preserve"> </v>
      </c>
      <c r="AY146" s="137"/>
      <c r="AZ146" s="138">
        <f t="shared" si="119"/>
        <v>0</v>
      </c>
      <c r="BA146" s="135" t="str">
        <f t="shared" si="120"/>
        <v xml:space="preserve"> </v>
      </c>
      <c r="BB146" s="135">
        <f t="shared" si="121"/>
        <v>0</v>
      </c>
      <c r="BC146" s="135" t="str">
        <f t="shared" si="122"/>
        <v>no</v>
      </c>
      <c r="BD146" s="135" t="b">
        <f t="shared" si="123"/>
        <v>0</v>
      </c>
      <c r="BE146" s="139" t="s">
        <v>59</v>
      </c>
      <c r="BF146" s="136"/>
    </row>
    <row r="147" spans="1:58" s="126" customFormat="1" ht="154">
      <c r="A147" s="472"/>
      <c r="B147" s="472"/>
      <c r="C147" s="472"/>
      <c r="D147" s="472"/>
      <c r="E147" s="472"/>
      <c r="F147" s="492" t="s">
        <v>363</v>
      </c>
      <c r="G147" s="492"/>
      <c r="H147" s="492"/>
      <c r="I147" s="492"/>
      <c r="J147" s="492"/>
      <c r="K147" s="492"/>
      <c r="L147" s="492"/>
      <c r="M147" s="492"/>
      <c r="N147" s="492"/>
      <c r="O147" s="492"/>
      <c r="P147" s="492"/>
      <c r="Q147" s="492"/>
      <c r="R147" s="492"/>
      <c r="S147" s="472">
        <f>SUMIFS(S124:S145, AA124:AA145, "=In Progress")</f>
        <v>37</v>
      </c>
      <c r="T147" s="472"/>
      <c r="U147" s="472">
        <f>SUMIFS(U124:U143, AA124:AA143, "=In Progress")</f>
        <v>0</v>
      </c>
      <c r="V147" s="472">
        <f>SUMIFS(V124:V143, Z124:Z143, "=In Progress")</f>
        <v>0</v>
      </c>
      <c r="W147" s="472"/>
      <c r="X147" s="472"/>
      <c r="Y147" s="472"/>
      <c r="Z147" s="472"/>
      <c r="AA147" s="472">
        <f>COUNTIFS(AA124:AA143, "=In Progress")</f>
        <v>0</v>
      </c>
      <c r="AB147" s="472"/>
      <c r="AC147" s="472"/>
      <c r="AD147" s="472"/>
      <c r="AE147" s="472"/>
      <c r="AF147" s="472"/>
      <c r="AG147" s="472"/>
      <c r="AH147" s="472"/>
      <c r="AI147" s="472"/>
      <c r="AJ147" s="472"/>
      <c r="AK147" s="472"/>
      <c r="AL147" s="472"/>
      <c r="AM147" s="472"/>
      <c r="AN147" s="472"/>
      <c r="AO147" s="472"/>
      <c r="AP147" s="472"/>
      <c r="AQ147" s="472"/>
      <c r="AR147" s="135">
        <f>COUNTIF(B:B,B147)</f>
        <v>0</v>
      </c>
      <c r="AS147" s="135">
        <f t="shared" si="104"/>
        <v>0</v>
      </c>
      <c r="AT147" s="136"/>
      <c r="AU147" s="135" t="str">
        <f t="shared" si="105"/>
        <v>0</v>
      </c>
      <c r="AV147" s="135" t="str">
        <f t="shared" si="106"/>
        <v/>
      </c>
      <c r="AW147" s="135" t="str">
        <f t="shared" si="107"/>
        <v/>
      </c>
      <c r="AX147" s="135" t="str">
        <f t="shared" si="108"/>
        <v xml:space="preserve"> </v>
      </c>
      <c r="AY147" s="137"/>
      <c r="AZ147" s="138">
        <f t="shared" si="109"/>
        <v>0</v>
      </c>
      <c r="BA147" s="135" t="str">
        <f t="shared" si="110"/>
        <v xml:space="preserve"> </v>
      </c>
      <c r="BB147" s="135">
        <f t="shared" si="111"/>
        <v>0</v>
      </c>
      <c r="BC147" s="135" t="str">
        <f t="shared" si="112"/>
        <v>no</v>
      </c>
      <c r="BD147" s="135" t="b">
        <f t="shared" si="113"/>
        <v>1</v>
      </c>
      <c r="BE147" s="139" t="s">
        <v>59</v>
      </c>
      <c r="BF147" s="136"/>
    </row>
    <row r="148" spans="1:58" s="126" customFormat="1" ht="154">
      <c r="A148" s="472"/>
      <c r="B148" s="472"/>
      <c r="C148" s="472"/>
      <c r="D148" s="472"/>
      <c r="E148" s="472"/>
      <c r="F148" s="492" t="s">
        <v>223</v>
      </c>
      <c r="G148" s="493"/>
      <c r="H148" s="493"/>
      <c r="I148" s="493"/>
      <c r="J148" s="493"/>
      <c r="K148" s="493"/>
      <c r="L148" s="493"/>
      <c r="M148" s="493"/>
      <c r="N148" s="493"/>
      <c r="O148" s="493"/>
      <c r="P148" s="493"/>
      <c r="Q148" s="493"/>
      <c r="R148" s="493"/>
      <c r="S148" s="472">
        <f>SUMIFS(S124:S145, AA124:AA145, "=Planned")</f>
        <v>0</v>
      </c>
      <c r="T148" s="472"/>
      <c r="U148" s="472">
        <f>SUMIFS(U124:U145, AA124:AA145, "=Planned")</f>
        <v>0</v>
      </c>
      <c r="V148" s="472">
        <f>SUMIFS(V124:V145, Z124:Z145, "=Planned")</f>
        <v>0</v>
      </c>
      <c r="W148" s="472"/>
      <c r="X148" s="472"/>
      <c r="Y148" s="472"/>
      <c r="Z148" s="472"/>
      <c r="AA148" s="472">
        <f>COUNTIFS(AA124:AA145, "=Planned")</f>
        <v>0</v>
      </c>
      <c r="AB148" s="472"/>
      <c r="AC148" s="472"/>
      <c r="AD148" s="472"/>
      <c r="AE148" s="472"/>
      <c r="AF148" s="472"/>
      <c r="AG148" s="472">
        <f>COUNTIFS(AG124:AG147, "=Legacy")</f>
        <v>0</v>
      </c>
      <c r="AH148" s="472">
        <f>COUNTIFS(AH126:AH147, "=Virtual")</f>
        <v>19</v>
      </c>
      <c r="AI148" s="472"/>
      <c r="AJ148" s="472"/>
      <c r="AK148" s="472"/>
      <c r="AL148" s="472"/>
      <c r="AM148" s="472"/>
      <c r="AN148" s="472"/>
      <c r="AO148" s="472"/>
      <c r="AP148" s="472"/>
      <c r="AQ148" s="472"/>
      <c r="AR148" s="135">
        <f>COUNTIF(B:B,B148)</f>
        <v>0</v>
      </c>
      <c r="AS148" s="135">
        <f t="shared" si="104"/>
        <v>0</v>
      </c>
      <c r="AT148" s="136"/>
      <c r="AU148" s="135" t="str">
        <f t="shared" si="105"/>
        <v>0</v>
      </c>
      <c r="AV148" s="135" t="str">
        <f t="shared" si="106"/>
        <v/>
      </c>
      <c r="AW148" s="135" t="str">
        <f t="shared" si="107"/>
        <v/>
      </c>
      <c r="AX148" s="135" t="str">
        <f t="shared" si="108"/>
        <v xml:space="preserve"> </v>
      </c>
      <c r="AY148" s="137"/>
      <c r="AZ148" s="138">
        <f t="shared" si="109"/>
        <v>0</v>
      </c>
      <c r="BA148" s="135" t="str">
        <f t="shared" si="110"/>
        <v xml:space="preserve"> </v>
      </c>
      <c r="BB148" s="135">
        <f t="shared" si="111"/>
        <v>0</v>
      </c>
      <c r="BC148" s="135" t="str">
        <f t="shared" si="112"/>
        <v>no</v>
      </c>
      <c r="BD148" s="135" t="b">
        <f t="shared" si="113"/>
        <v>1</v>
      </c>
      <c r="BE148" s="139" t="s">
        <v>59</v>
      </c>
      <c r="BF148" s="136"/>
    </row>
    <row r="149" spans="1:58" s="126" customFormat="1" ht="154">
      <c r="A149" s="472"/>
      <c r="B149" s="472"/>
      <c r="C149" s="472"/>
      <c r="D149" s="472"/>
      <c r="E149" s="472"/>
      <c r="F149" s="492" t="s">
        <v>224</v>
      </c>
      <c r="G149" s="492"/>
      <c r="H149" s="492"/>
      <c r="I149" s="492"/>
      <c r="J149" s="492"/>
      <c r="K149" s="492"/>
      <c r="L149" s="492"/>
      <c r="M149" s="492"/>
      <c r="N149" s="492"/>
      <c r="O149" s="492"/>
      <c r="P149" s="492"/>
      <c r="Q149" s="492"/>
      <c r="R149" s="492"/>
      <c r="S149" s="472">
        <f>SUMIFS(S124:S144, AA124:AA144, "=Tentative")</f>
        <v>0</v>
      </c>
      <c r="T149" s="472"/>
      <c r="U149" s="472">
        <f>SUMIFS(U124:U145, AA124:AA145, "=Tentative")</f>
        <v>0</v>
      </c>
      <c r="V149" s="472">
        <f>SUMIFS(V124:V146, Z124:Z146, "=Tentative")</f>
        <v>0</v>
      </c>
      <c r="W149" s="472"/>
      <c r="X149" s="472"/>
      <c r="Y149" s="472"/>
      <c r="Z149" s="472"/>
      <c r="AA149" s="472">
        <f>COUNTIFS(AA124:AA146, "=Tentative")</f>
        <v>0</v>
      </c>
      <c r="AB149" s="472"/>
      <c r="AC149" s="472"/>
      <c r="AD149" s="472"/>
      <c r="AE149" s="472"/>
      <c r="AF149" s="472"/>
      <c r="AG149" s="472"/>
      <c r="AH149" s="472"/>
      <c r="AI149" s="472"/>
      <c r="AJ149" s="472"/>
      <c r="AK149" s="472"/>
      <c r="AL149" s="472"/>
      <c r="AM149" s="472"/>
      <c r="AN149" s="472"/>
      <c r="AO149" s="472"/>
      <c r="AP149" s="472"/>
      <c r="AQ149" s="472"/>
      <c r="AR149" s="135">
        <f>COUNTIF(B:B,B149)</f>
        <v>0</v>
      </c>
      <c r="AS149" s="135">
        <f t="shared" si="104"/>
        <v>0</v>
      </c>
      <c r="AT149" s="136"/>
      <c r="AU149" s="135" t="str">
        <f t="shared" si="105"/>
        <v>0</v>
      </c>
      <c r="AV149" s="135" t="str">
        <f t="shared" si="106"/>
        <v/>
      </c>
      <c r="AW149" s="135" t="str">
        <f t="shared" si="107"/>
        <v/>
      </c>
      <c r="AX149" s="135" t="str">
        <f t="shared" si="108"/>
        <v xml:space="preserve"> </v>
      </c>
      <c r="AY149" s="137"/>
      <c r="AZ149" s="138">
        <f t="shared" si="109"/>
        <v>0</v>
      </c>
      <c r="BA149" s="135" t="str">
        <f t="shared" si="110"/>
        <v xml:space="preserve"> </v>
      </c>
      <c r="BB149" s="135">
        <f t="shared" si="111"/>
        <v>0</v>
      </c>
      <c r="BC149" s="135" t="str">
        <f t="shared" si="112"/>
        <v>no</v>
      </c>
      <c r="BD149" s="135" t="b">
        <f t="shared" si="113"/>
        <v>1</v>
      </c>
      <c r="BE149" s="139" t="s">
        <v>59</v>
      </c>
      <c r="BF149" s="136"/>
    </row>
    <row r="150" spans="1:58" s="126" customFormat="1" ht="154">
      <c r="A150" s="472"/>
      <c r="B150" s="472"/>
      <c r="C150" s="472"/>
      <c r="D150" s="472"/>
      <c r="E150" s="472"/>
      <c r="F150" s="494" t="s">
        <v>225</v>
      </c>
      <c r="G150" s="493"/>
      <c r="H150" s="493"/>
      <c r="I150" s="493"/>
      <c r="J150" s="493"/>
      <c r="K150" s="493"/>
      <c r="L150" s="493"/>
      <c r="M150" s="493"/>
      <c r="N150" s="493"/>
      <c r="O150" s="493"/>
      <c r="P150" s="493"/>
      <c r="Q150" s="493"/>
      <c r="R150" s="493"/>
      <c r="S150" s="473">
        <f>SUM(S146:S149)</f>
        <v>1082</v>
      </c>
      <c r="T150" s="472"/>
      <c r="U150" s="473">
        <f>SUM(U124:U149)</f>
        <v>0</v>
      </c>
      <c r="V150" s="473">
        <f>SUM(V146:V149)</f>
        <v>1045</v>
      </c>
      <c r="W150" s="472"/>
      <c r="X150" s="472"/>
      <c r="Y150" s="472"/>
      <c r="Z150" s="472"/>
      <c r="AA150" s="472"/>
      <c r="AB150" s="472"/>
      <c r="AC150" s="472"/>
      <c r="AD150" s="472"/>
      <c r="AE150" s="472"/>
      <c r="AF150" s="472"/>
      <c r="AG150" s="472"/>
      <c r="AH150" s="472"/>
      <c r="AI150" s="472"/>
      <c r="AJ150" s="472"/>
      <c r="AK150" s="472"/>
      <c r="AL150" s="472"/>
      <c r="AM150" s="472"/>
      <c r="AN150" s="472"/>
      <c r="AO150" s="472"/>
      <c r="AP150" s="472"/>
      <c r="AQ150" s="472"/>
      <c r="AR150" s="135">
        <f>COUNTIF(B:B,B150)</f>
        <v>0</v>
      </c>
      <c r="AS150" s="135">
        <f t="shared" si="104"/>
        <v>0</v>
      </c>
      <c r="AT150" s="136"/>
      <c r="AU150" s="135" t="str">
        <f t="shared" si="105"/>
        <v>0</v>
      </c>
      <c r="AV150" s="135" t="str">
        <f t="shared" si="106"/>
        <v/>
      </c>
      <c r="AW150" s="135" t="str">
        <f t="shared" si="107"/>
        <v/>
      </c>
      <c r="AX150" s="135" t="str">
        <f t="shared" si="108"/>
        <v xml:space="preserve"> </v>
      </c>
      <c r="AY150" s="137"/>
      <c r="AZ150" s="138">
        <f t="shared" si="109"/>
        <v>0</v>
      </c>
      <c r="BA150" s="135" t="str">
        <f t="shared" si="110"/>
        <v xml:space="preserve"> </v>
      </c>
      <c r="BB150" s="135">
        <f t="shared" si="111"/>
        <v>0</v>
      </c>
      <c r="BC150" s="135" t="str">
        <f t="shared" si="112"/>
        <v>no</v>
      </c>
      <c r="BD150" s="135" t="b">
        <f t="shared" si="113"/>
        <v>0</v>
      </c>
      <c r="BE150" s="139" t="s">
        <v>59</v>
      </c>
      <c r="BF150" s="136"/>
    </row>
    <row r="151" spans="1:58" s="126" customFormat="1" ht="154">
      <c r="A151" s="472" t="s">
        <v>467</v>
      </c>
      <c r="B151" s="472" t="s">
        <v>468</v>
      </c>
      <c r="C151" s="472"/>
      <c r="D151" s="472">
        <v>10087032</v>
      </c>
      <c r="E151" s="472"/>
      <c r="F151" s="471" t="s">
        <v>469</v>
      </c>
      <c r="G151" s="174" t="s">
        <v>470</v>
      </c>
      <c r="H151" s="175">
        <v>44081</v>
      </c>
      <c r="I151" s="176">
        <v>44092</v>
      </c>
      <c r="J151" s="175">
        <f>WORKDAY(H151,10)</f>
        <v>44095</v>
      </c>
      <c r="K151" s="176"/>
      <c r="L151" s="176"/>
      <c r="M151" s="176" t="s">
        <v>383</v>
      </c>
      <c r="N151" s="176" t="s">
        <v>383</v>
      </c>
      <c r="O151" s="176"/>
      <c r="P151" s="176"/>
      <c r="Q151" s="472" t="s">
        <v>93</v>
      </c>
      <c r="R151" s="472" t="s">
        <v>471</v>
      </c>
      <c r="S151" s="472">
        <f t="shared" ref="S151:S158" si="124">U151+V151</f>
        <v>19</v>
      </c>
      <c r="T151" s="472" t="s">
        <v>472</v>
      </c>
      <c r="U151" s="472">
        <v>0</v>
      </c>
      <c r="V151" s="472">
        <v>19</v>
      </c>
      <c r="W151" s="472" t="s">
        <v>473</v>
      </c>
      <c r="X151" s="472" t="s">
        <v>474</v>
      </c>
      <c r="Y151" s="472"/>
      <c r="Z151" s="472" t="s">
        <v>52</v>
      </c>
      <c r="AA151" s="472" t="s">
        <v>53</v>
      </c>
      <c r="AB151" s="472" t="s">
        <v>52</v>
      </c>
      <c r="AC151" s="472" t="s">
        <v>48</v>
      </c>
      <c r="AD151" s="472" t="s">
        <v>53</v>
      </c>
      <c r="AE151" s="472" t="s">
        <v>54</v>
      </c>
      <c r="AF151" s="472" t="s">
        <v>54</v>
      </c>
      <c r="AG151" s="472" t="s">
        <v>85</v>
      </c>
      <c r="AH151" s="472" t="s">
        <v>86</v>
      </c>
      <c r="AI151" s="472" t="s">
        <v>48</v>
      </c>
      <c r="AJ151" s="472" t="s">
        <v>475</v>
      </c>
      <c r="AK151" s="472"/>
      <c r="AL151" s="472" t="s">
        <v>476</v>
      </c>
      <c r="AM151" s="177"/>
      <c r="AN151" s="177" t="s">
        <v>477</v>
      </c>
      <c r="AO151" s="472"/>
      <c r="AP151" s="472"/>
      <c r="AQ151" s="472"/>
      <c r="AR151" s="135">
        <f>COUNTIF(B:B,B151)</f>
        <v>1</v>
      </c>
      <c r="AS151" s="135" t="str">
        <f t="shared" si="104"/>
        <v>2020_09_07_a</v>
      </c>
      <c r="AT151" s="136"/>
      <c r="AU151" s="135" t="str">
        <f t="shared" si="105"/>
        <v>2020</v>
      </c>
      <c r="AV151" s="135" t="str">
        <f t="shared" si="106"/>
        <v>09</v>
      </c>
      <c r="AW151" s="135" t="str">
        <f t="shared" si="107"/>
        <v>07</v>
      </c>
      <c r="AX151" s="135">
        <f t="shared" si="108"/>
        <v>44081</v>
      </c>
      <c r="AY151" s="137"/>
      <c r="AZ151" s="138">
        <f t="shared" si="109"/>
        <v>44081</v>
      </c>
      <c r="BA151" s="135" t="b">
        <f t="shared" si="110"/>
        <v>1</v>
      </c>
      <c r="BB151" s="135">
        <f t="shared" si="111"/>
        <v>44081</v>
      </c>
      <c r="BC151" s="135" t="str">
        <f t="shared" si="112"/>
        <v>no</v>
      </c>
      <c r="BD151" s="135" t="b">
        <f t="shared" si="113"/>
        <v>0</v>
      </c>
      <c r="BE151" s="139" t="s">
        <v>59</v>
      </c>
      <c r="BF151" s="136"/>
    </row>
    <row r="152" spans="1:58" s="126" customFormat="1" ht="154">
      <c r="A152" s="127" t="s">
        <v>478</v>
      </c>
      <c r="B152" s="127" t="s">
        <v>479</v>
      </c>
      <c r="C152" s="472"/>
      <c r="D152" s="472"/>
      <c r="E152" s="472"/>
      <c r="F152" s="471" t="s">
        <v>469</v>
      </c>
      <c r="G152" s="178" t="s">
        <v>480</v>
      </c>
      <c r="H152" s="175">
        <v>43878</v>
      </c>
      <c r="I152" s="176">
        <v>43887</v>
      </c>
      <c r="J152" s="175">
        <v>43831</v>
      </c>
      <c r="K152" s="176">
        <v>43877</v>
      </c>
      <c r="L152" s="176" t="s">
        <v>481</v>
      </c>
      <c r="M152" s="176" t="s">
        <v>48</v>
      </c>
      <c r="N152" s="176" t="s">
        <v>48</v>
      </c>
      <c r="O152" s="176"/>
      <c r="P152" s="176"/>
      <c r="Q152" s="472" t="s">
        <v>49</v>
      </c>
      <c r="R152" s="472" t="s">
        <v>482</v>
      </c>
      <c r="S152" s="471">
        <f t="shared" si="124"/>
        <v>14</v>
      </c>
      <c r="T152" s="472" t="s">
        <v>472</v>
      </c>
      <c r="U152" s="472">
        <v>0</v>
      </c>
      <c r="V152" s="471">
        <v>14</v>
      </c>
      <c r="W152" s="472" t="s">
        <v>483</v>
      </c>
      <c r="X152" s="472" t="s">
        <v>484</v>
      </c>
      <c r="Y152" s="472"/>
      <c r="Z152" s="472" t="s">
        <v>52</v>
      </c>
      <c r="AA152" s="472" t="s">
        <v>53</v>
      </c>
      <c r="AB152" s="472" t="s">
        <v>52</v>
      </c>
      <c r="AC152" s="472" t="s">
        <v>48</v>
      </c>
      <c r="AD152" s="472" t="s">
        <v>52</v>
      </c>
      <c r="AE152" s="472" t="s">
        <v>54</v>
      </c>
      <c r="AF152" s="472" t="s">
        <v>54</v>
      </c>
      <c r="AG152" s="472" t="s">
        <v>55</v>
      </c>
      <c r="AH152" s="472" t="s">
        <v>56</v>
      </c>
      <c r="AI152" s="472" t="s">
        <v>48</v>
      </c>
      <c r="AJ152" s="472"/>
      <c r="AK152" s="472"/>
      <c r="AL152" s="472" t="s">
        <v>476</v>
      </c>
      <c r="AM152" s="472"/>
      <c r="AN152" s="472" t="s">
        <v>485</v>
      </c>
      <c r="AO152" s="472"/>
      <c r="AP152" s="472"/>
      <c r="AQ152" s="472"/>
      <c r="AR152" s="135">
        <f>COUNTIF(B:B,B152)</f>
        <v>1</v>
      </c>
      <c r="AS152" s="135" t="str">
        <f t="shared" si="104"/>
        <v>2020_02_17_a</v>
      </c>
      <c r="AT152" s="136"/>
      <c r="AU152" s="135" t="str">
        <f t="shared" si="105"/>
        <v>2020</v>
      </c>
      <c r="AV152" s="135" t="str">
        <f t="shared" si="106"/>
        <v>02</v>
      </c>
      <c r="AW152" s="135" t="str">
        <f t="shared" si="107"/>
        <v>17</v>
      </c>
      <c r="AX152" s="135">
        <f t="shared" si="108"/>
        <v>43878</v>
      </c>
      <c r="AY152" s="137"/>
      <c r="AZ152" s="138">
        <f t="shared" si="109"/>
        <v>43878</v>
      </c>
      <c r="BA152" s="135" t="b">
        <f t="shared" si="110"/>
        <v>1</v>
      </c>
      <c r="BB152" s="135">
        <f t="shared" si="111"/>
        <v>43878</v>
      </c>
      <c r="BC152" s="135" t="str">
        <f t="shared" si="112"/>
        <v>no</v>
      </c>
      <c r="BD152" s="135" t="b">
        <f t="shared" si="113"/>
        <v>0</v>
      </c>
      <c r="BE152" s="139" t="s">
        <v>59</v>
      </c>
      <c r="BF152" s="136"/>
    </row>
    <row r="153" spans="1:58" s="126" customFormat="1" ht="154">
      <c r="A153" s="127" t="s">
        <v>478</v>
      </c>
      <c r="B153" s="127" t="s">
        <v>486</v>
      </c>
      <c r="C153" s="472" t="s">
        <v>487</v>
      </c>
      <c r="D153" s="81" t="s">
        <v>488</v>
      </c>
      <c r="E153" s="472"/>
      <c r="F153" s="471" t="s">
        <v>469</v>
      </c>
      <c r="G153" s="178" t="s">
        <v>480</v>
      </c>
      <c r="H153" s="175">
        <v>43878</v>
      </c>
      <c r="I153" s="176">
        <v>43887</v>
      </c>
      <c r="J153" s="175">
        <f>WORKDAY(H153,20)</f>
        <v>43906</v>
      </c>
      <c r="K153" s="176">
        <v>44104</v>
      </c>
      <c r="L153" s="176">
        <v>43906</v>
      </c>
      <c r="M153" s="176" t="s">
        <v>48</v>
      </c>
      <c r="N153" s="176" t="s">
        <v>48</v>
      </c>
      <c r="O153" s="176"/>
      <c r="P153" s="176"/>
      <c r="Q153" s="472" t="s">
        <v>49</v>
      </c>
      <c r="R153" s="472" t="s">
        <v>489</v>
      </c>
      <c r="S153" s="471">
        <f t="shared" si="124"/>
        <v>3</v>
      </c>
      <c r="T153" s="472" t="s">
        <v>472</v>
      </c>
      <c r="U153" s="472">
        <v>0</v>
      </c>
      <c r="V153" s="471">
        <v>3</v>
      </c>
      <c r="W153" s="472" t="s">
        <v>483</v>
      </c>
      <c r="X153" s="472" t="s">
        <v>484</v>
      </c>
      <c r="Y153" s="472"/>
      <c r="Z153" s="472" t="s">
        <v>52</v>
      </c>
      <c r="AA153" s="472" t="s">
        <v>53</v>
      </c>
      <c r="AB153" s="472" t="s">
        <v>52</v>
      </c>
      <c r="AC153" s="472" t="s">
        <v>48</v>
      </c>
      <c r="AD153" s="472" t="s">
        <v>52</v>
      </c>
      <c r="AE153" s="472" t="s">
        <v>54</v>
      </c>
      <c r="AF153" s="472" t="s">
        <v>54</v>
      </c>
      <c r="AG153" s="472" t="s">
        <v>55</v>
      </c>
      <c r="AH153" s="472" t="s">
        <v>56</v>
      </c>
      <c r="AI153" s="472" t="s">
        <v>48</v>
      </c>
      <c r="AJ153" s="472"/>
      <c r="AK153" s="472"/>
      <c r="AL153" s="472" t="s">
        <v>476</v>
      </c>
      <c r="AM153" s="472"/>
      <c r="AN153" s="472" t="s">
        <v>490</v>
      </c>
      <c r="AO153" s="472"/>
      <c r="AP153" s="472"/>
      <c r="AQ153" s="472"/>
      <c r="AR153" s="135">
        <f>COUNTIF(B:B,B153)</f>
        <v>1</v>
      </c>
      <c r="AS153" s="135" t="str">
        <f t="shared" si="104"/>
        <v>2020_02_17_b</v>
      </c>
      <c r="AT153" s="136"/>
      <c r="AU153" s="135" t="str">
        <f t="shared" si="105"/>
        <v>2020</v>
      </c>
      <c r="AV153" s="135" t="str">
        <f t="shared" si="106"/>
        <v>02</v>
      </c>
      <c r="AW153" s="135" t="str">
        <f t="shared" si="107"/>
        <v>17</v>
      </c>
      <c r="AX153" s="135">
        <f t="shared" si="108"/>
        <v>43878</v>
      </c>
      <c r="AY153" s="137"/>
      <c r="AZ153" s="138">
        <f t="shared" si="109"/>
        <v>43878</v>
      </c>
      <c r="BA153" s="135" t="b">
        <f t="shared" si="110"/>
        <v>1</v>
      </c>
      <c r="BB153" s="135">
        <f t="shared" si="111"/>
        <v>43878</v>
      </c>
      <c r="BC153" s="135" t="str">
        <f t="shared" si="112"/>
        <v>no</v>
      </c>
      <c r="BD153" s="135" t="b">
        <f t="shared" si="113"/>
        <v>0</v>
      </c>
      <c r="BE153" s="139" t="s">
        <v>59</v>
      </c>
      <c r="BF153" s="136"/>
    </row>
    <row r="154" spans="1:58" s="149" customFormat="1" ht="409.5">
      <c r="A154" s="128" t="s">
        <v>491</v>
      </c>
      <c r="B154" s="128" t="s">
        <v>492</v>
      </c>
      <c r="C154" s="149" t="s">
        <v>493</v>
      </c>
      <c r="D154" s="149">
        <v>10083095</v>
      </c>
      <c r="E154" s="154" t="s">
        <v>80</v>
      </c>
      <c r="F154" s="154" t="s">
        <v>469</v>
      </c>
      <c r="G154" s="153" t="s">
        <v>494</v>
      </c>
      <c r="H154" s="155">
        <v>43986</v>
      </c>
      <c r="I154" s="156">
        <v>43999</v>
      </c>
      <c r="J154" s="155">
        <f>WORKDAY(H154,10)</f>
        <v>44000</v>
      </c>
      <c r="K154" s="156" t="s">
        <v>495</v>
      </c>
      <c r="L154" s="156" t="s">
        <v>496</v>
      </c>
      <c r="M154" s="156" t="s">
        <v>48</v>
      </c>
      <c r="N154" s="156" t="s">
        <v>48</v>
      </c>
      <c r="O154" s="156"/>
      <c r="P154" s="156"/>
      <c r="Q154" s="149" t="s">
        <v>82</v>
      </c>
      <c r="R154" s="149" t="s">
        <v>497</v>
      </c>
      <c r="S154" s="149">
        <f t="shared" si="124"/>
        <v>22</v>
      </c>
      <c r="T154" s="149" t="s">
        <v>472</v>
      </c>
      <c r="U154" s="149">
        <v>0</v>
      </c>
      <c r="V154" s="472">
        <v>22</v>
      </c>
      <c r="W154" s="149" t="s">
        <v>483</v>
      </c>
      <c r="X154" s="149" t="s">
        <v>474</v>
      </c>
      <c r="Y154" s="472" t="s">
        <v>498</v>
      </c>
      <c r="Z154" s="149" t="s">
        <v>52</v>
      </c>
      <c r="AA154" s="149" t="s">
        <v>53</v>
      </c>
      <c r="AB154" s="149" t="s">
        <v>52</v>
      </c>
      <c r="AC154" s="149" t="s">
        <v>48</v>
      </c>
      <c r="AD154" s="149" t="s">
        <v>52</v>
      </c>
      <c r="AE154" s="149" t="s">
        <v>54</v>
      </c>
      <c r="AF154" s="149" t="s">
        <v>54</v>
      </c>
      <c r="AG154" s="149" t="s">
        <v>85</v>
      </c>
      <c r="AH154" s="149" t="s">
        <v>86</v>
      </c>
      <c r="AI154" s="149" t="s">
        <v>48</v>
      </c>
      <c r="AK154" s="149">
        <v>73</v>
      </c>
      <c r="AL154" s="149" t="s">
        <v>499</v>
      </c>
      <c r="AN154" s="149" t="s">
        <v>500</v>
      </c>
      <c r="AR154" s="135">
        <f>COUNTIF(B:B,B154)</f>
        <v>1</v>
      </c>
      <c r="AS154" s="135" t="str">
        <f t="shared" si="104"/>
        <v>2020_06_04_a</v>
      </c>
      <c r="AT154" s="136"/>
      <c r="AU154" s="135" t="str">
        <f t="shared" si="105"/>
        <v>2020</v>
      </c>
      <c r="AV154" s="135" t="str">
        <f t="shared" si="106"/>
        <v>06</v>
      </c>
      <c r="AW154" s="135" t="str">
        <f t="shared" si="107"/>
        <v>04</v>
      </c>
      <c r="AX154" s="135">
        <f t="shared" si="108"/>
        <v>43986</v>
      </c>
      <c r="AY154" s="137"/>
      <c r="AZ154" s="138">
        <f t="shared" si="109"/>
        <v>43986</v>
      </c>
      <c r="BA154" s="135" t="b">
        <f t="shared" si="110"/>
        <v>1</v>
      </c>
      <c r="BB154" s="135">
        <f t="shared" si="111"/>
        <v>43986</v>
      </c>
      <c r="BC154" s="135" t="str">
        <f t="shared" si="112"/>
        <v>no</v>
      </c>
      <c r="BD154" s="135" t="b">
        <f t="shared" si="113"/>
        <v>0</v>
      </c>
      <c r="BE154" s="139" t="s">
        <v>59</v>
      </c>
      <c r="BF154" s="136"/>
    </row>
    <row r="155" spans="1:58" s="126" customFormat="1" ht="154">
      <c r="A155" s="485" t="s">
        <v>501</v>
      </c>
      <c r="B155" s="485" t="s">
        <v>502</v>
      </c>
      <c r="C155" s="472"/>
      <c r="D155" s="472">
        <v>10089652</v>
      </c>
      <c r="E155" s="472"/>
      <c r="F155" s="471" t="s">
        <v>469</v>
      </c>
      <c r="G155" s="178" t="s">
        <v>503</v>
      </c>
      <c r="H155" s="175">
        <v>44130</v>
      </c>
      <c r="I155" s="176">
        <v>44141</v>
      </c>
      <c r="J155" s="175">
        <f>WORKDAY(H155,10)</f>
        <v>44144</v>
      </c>
      <c r="K155" s="176"/>
      <c r="L155" s="176"/>
      <c r="M155" s="176" t="s">
        <v>383</v>
      </c>
      <c r="N155" s="176" t="s">
        <v>383</v>
      </c>
      <c r="O155" s="176"/>
      <c r="P155" s="176"/>
      <c r="Q155" s="472" t="s">
        <v>106</v>
      </c>
      <c r="R155" s="472" t="s">
        <v>504</v>
      </c>
      <c r="S155" s="472">
        <f t="shared" si="124"/>
        <v>26</v>
      </c>
      <c r="T155" s="472">
        <v>36</v>
      </c>
      <c r="U155" s="472">
        <v>0</v>
      </c>
      <c r="V155" s="472">
        <v>26</v>
      </c>
      <c r="W155" s="472" t="s">
        <v>505</v>
      </c>
      <c r="X155" s="472" t="s">
        <v>474</v>
      </c>
      <c r="Y155" s="472"/>
      <c r="Z155" s="472" t="s">
        <v>52</v>
      </c>
      <c r="AA155" s="472" t="s">
        <v>53</v>
      </c>
      <c r="AB155" s="472" t="s">
        <v>52</v>
      </c>
      <c r="AC155" s="472" t="s">
        <v>48</v>
      </c>
      <c r="AD155" s="472" t="s">
        <v>54</v>
      </c>
      <c r="AE155" s="472" t="s">
        <v>54</v>
      </c>
      <c r="AF155" s="472" t="s">
        <v>54</v>
      </c>
      <c r="AG155" s="472" t="s">
        <v>85</v>
      </c>
      <c r="AH155" s="472" t="s">
        <v>86</v>
      </c>
      <c r="AI155" s="472" t="s">
        <v>48</v>
      </c>
      <c r="AJ155" s="472" t="s">
        <v>475</v>
      </c>
      <c r="AK155" s="472"/>
      <c r="AL155" s="472" t="s">
        <v>476</v>
      </c>
      <c r="AM155" s="177"/>
      <c r="AN155" s="177" t="s">
        <v>506</v>
      </c>
      <c r="AO155" s="472"/>
      <c r="AP155" s="472"/>
      <c r="AQ155" s="472"/>
      <c r="AR155" s="135">
        <f>COUNTIF(B:B,B155)</f>
        <v>1</v>
      </c>
      <c r="AS155" s="135" t="str">
        <f t="shared" si="104"/>
        <v>2020_10_26_a</v>
      </c>
      <c r="AT155" s="136"/>
      <c r="AU155" s="135" t="str">
        <f t="shared" si="105"/>
        <v>2020</v>
      </c>
      <c r="AV155" s="135" t="str">
        <f t="shared" si="106"/>
        <v>10</v>
      </c>
      <c r="AW155" s="135" t="str">
        <f t="shared" si="107"/>
        <v>26</v>
      </c>
      <c r="AX155" s="135">
        <f t="shared" si="108"/>
        <v>44130</v>
      </c>
      <c r="AY155" s="137"/>
      <c r="AZ155" s="138">
        <f t="shared" si="109"/>
        <v>44130</v>
      </c>
      <c r="BA155" s="135" t="b">
        <f t="shared" si="110"/>
        <v>1</v>
      </c>
      <c r="BB155" s="135">
        <f t="shared" si="111"/>
        <v>44130</v>
      </c>
      <c r="BC155" s="135" t="str">
        <f t="shared" si="112"/>
        <v>no</v>
      </c>
      <c r="BD155" s="135" t="b">
        <f t="shared" si="113"/>
        <v>0</v>
      </c>
      <c r="BE155" s="139" t="s">
        <v>59</v>
      </c>
      <c r="BF155" s="136"/>
    </row>
    <row r="156" spans="1:58" s="126" customFormat="1" ht="154">
      <c r="A156" s="472"/>
      <c r="B156" s="472" t="s">
        <v>507</v>
      </c>
      <c r="C156" s="472"/>
      <c r="D156" s="81">
        <v>10096428</v>
      </c>
      <c r="E156" s="472"/>
      <c r="F156" s="471" t="s">
        <v>469</v>
      </c>
      <c r="G156" s="174" t="s">
        <v>463</v>
      </c>
      <c r="H156" s="175">
        <v>44249</v>
      </c>
      <c r="I156" s="176" t="s">
        <v>508</v>
      </c>
      <c r="J156" s="175">
        <v>44263</v>
      </c>
      <c r="K156" s="176"/>
      <c r="L156" s="176"/>
      <c r="M156" s="176" t="s">
        <v>383</v>
      </c>
      <c r="N156" s="176" t="s">
        <v>383</v>
      </c>
      <c r="O156" s="176" t="s">
        <v>383</v>
      </c>
      <c r="P156" s="176" t="s">
        <v>383</v>
      </c>
      <c r="Q156" s="472" t="s">
        <v>49</v>
      </c>
      <c r="R156" s="472" t="s">
        <v>463</v>
      </c>
      <c r="S156" s="81">
        <f t="shared" si="124"/>
        <v>27</v>
      </c>
      <c r="T156" s="81">
        <v>27</v>
      </c>
      <c r="U156" s="472">
        <v>0</v>
      </c>
      <c r="V156" s="472">
        <v>27</v>
      </c>
      <c r="W156" s="472" t="s">
        <v>509</v>
      </c>
      <c r="X156" s="472" t="s">
        <v>510</v>
      </c>
      <c r="Y156" s="472"/>
      <c r="Z156" s="472" t="s">
        <v>54</v>
      </c>
      <c r="AA156" s="472" t="s">
        <v>54</v>
      </c>
      <c r="AB156" s="472" t="s">
        <v>54</v>
      </c>
      <c r="AC156" s="472" t="s">
        <v>511</v>
      </c>
      <c r="AD156" s="472" t="s">
        <v>512</v>
      </c>
      <c r="AE156" s="472" t="s">
        <v>54</v>
      </c>
      <c r="AF156" s="472" t="s">
        <v>54</v>
      </c>
      <c r="AG156" s="472" t="s">
        <v>85</v>
      </c>
      <c r="AH156" s="472" t="s">
        <v>86</v>
      </c>
      <c r="AI156" s="472" t="s">
        <v>511</v>
      </c>
      <c r="AJ156" s="472" t="s">
        <v>475</v>
      </c>
      <c r="AK156" s="472"/>
      <c r="AL156" s="472" t="s">
        <v>513</v>
      </c>
      <c r="AM156" s="472"/>
      <c r="AN156" s="472"/>
      <c r="AO156" s="472"/>
      <c r="AP156" s="472"/>
      <c r="AQ156" s="472"/>
      <c r="AR156" s="135">
        <f>COUNTIF(B:B,B156)</f>
        <v>1</v>
      </c>
      <c r="AS156" s="135" t="str">
        <f t="shared" si="104"/>
        <v>2021_02_22_a</v>
      </c>
      <c r="AT156" s="136"/>
      <c r="AU156" s="135" t="str">
        <f t="shared" si="105"/>
        <v>2021</v>
      </c>
      <c r="AV156" s="135" t="str">
        <f t="shared" si="106"/>
        <v>02</v>
      </c>
      <c r="AW156" s="135" t="str">
        <f t="shared" si="107"/>
        <v>22</v>
      </c>
      <c r="AX156" s="135">
        <f t="shared" si="108"/>
        <v>44249</v>
      </c>
      <c r="AY156" s="137"/>
      <c r="AZ156" s="138">
        <f t="shared" si="109"/>
        <v>44249</v>
      </c>
      <c r="BA156" s="135" t="b">
        <f t="shared" si="110"/>
        <v>1</v>
      </c>
      <c r="BB156" s="135">
        <f t="shared" si="111"/>
        <v>44249</v>
      </c>
      <c r="BC156" s="135" t="str">
        <f t="shared" si="112"/>
        <v>no</v>
      </c>
      <c r="BD156" s="135" t="b">
        <f t="shared" si="113"/>
        <v>0</v>
      </c>
      <c r="BE156" s="139" t="s">
        <v>59</v>
      </c>
      <c r="BF156" s="136"/>
    </row>
    <row r="157" spans="1:58" s="126" customFormat="1" ht="154">
      <c r="A157" s="472"/>
      <c r="B157" s="81" t="s">
        <v>514</v>
      </c>
      <c r="C157" s="81"/>
      <c r="D157" s="81" t="s">
        <v>515</v>
      </c>
      <c r="E157" s="81"/>
      <c r="F157" s="487" t="s">
        <v>469</v>
      </c>
      <c r="G157" s="179" t="s">
        <v>463</v>
      </c>
      <c r="H157" s="167">
        <v>44354</v>
      </c>
      <c r="I157" s="180"/>
      <c r="J157" s="167">
        <v>44368</v>
      </c>
      <c r="K157" s="180"/>
      <c r="L157" s="180"/>
      <c r="M157" s="180"/>
      <c r="N157" s="180"/>
      <c r="O157" s="180"/>
      <c r="P157" s="180"/>
      <c r="Q157" s="81"/>
      <c r="R157" s="81" t="s">
        <v>516</v>
      </c>
      <c r="S157" s="81">
        <f t="shared" si="124"/>
        <v>13</v>
      </c>
      <c r="T157" s="81">
        <v>24</v>
      </c>
      <c r="U157" s="81">
        <v>0</v>
      </c>
      <c r="V157" s="472">
        <v>13</v>
      </c>
      <c r="W157" s="81" t="s">
        <v>517</v>
      </c>
      <c r="X157" s="81" t="s">
        <v>518</v>
      </c>
      <c r="Y157" s="81"/>
      <c r="Z157" s="81" t="s">
        <v>54</v>
      </c>
      <c r="AA157" s="81" t="s">
        <v>512</v>
      </c>
      <c r="AB157" s="81" t="s">
        <v>54</v>
      </c>
      <c r="AC157" s="81" t="s">
        <v>48</v>
      </c>
      <c r="AD157" s="81" t="s">
        <v>54</v>
      </c>
      <c r="AE157" s="81" t="s">
        <v>54</v>
      </c>
      <c r="AF157" s="81" t="s">
        <v>54</v>
      </c>
      <c r="AG157" s="81" t="s">
        <v>85</v>
      </c>
      <c r="AH157" s="81" t="s">
        <v>86</v>
      </c>
      <c r="AI157" s="81" t="s">
        <v>48</v>
      </c>
      <c r="AJ157" s="81" t="s">
        <v>86</v>
      </c>
      <c r="AK157" s="81"/>
      <c r="AL157" s="81" t="s">
        <v>57</v>
      </c>
      <c r="AM157" s="472"/>
      <c r="AN157" s="472"/>
      <c r="AO157" s="472"/>
      <c r="AP157" s="472"/>
      <c r="AQ157" s="472"/>
      <c r="AR157" s="135">
        <f>COUNTIF(B:B,B157)</f>
        <v>1</v>
      </c>
      <c r="AS157" s="135" t="str">
        <f t="shared" si="104"/>
        <v>2021_06_07_a</v>
      </c>
      <c r="AT157" s="136"/>
      <c r="AU157" s="135" t="str">
        <f t="shared" si="105"/>
        <v>2021</v>
      </c>
      <c r="AV157" s="135" t="str">
        <f t="shared" si="106"/>
        <v>06</v>
      </c>
      <c r="AW157" s="135" t="str">
        <f t="shared" si="107"/>
        <v>07</v>
      </c>
      <c r="AX157" s="135">
        <f t="shared" si="108"/>
        <v>44354</v>
      </c>
      <c r="AY157" s="137"/>
      <c r="AZ157" s="138">
        <f t="shared" si="109"/>
        <v>44354</v>
      </c>
      <c r="BA157" s="135" t="b">
        <f t="shared" si="110"/>
        <v>1</v>
      </c>
      <c r="BB157" s="135">
        <f t="shared" si="111"/>
        <v>44354</v>
      </c>
      <c r="BC157" s="135" t="str">
        <f t="shared" si="112"/>
        <v>no</v>
      </c>
      <c r="BD157" s="135" t="b">
        <f t="shared" si="113"/>
        <v>0</v>
      </c>
      <c r="BE157" s="139" t="s">
        <v>59</v>
      </c>
      <c r="BF157" s="136"/>
    </row>
    <row r="158" spans="1:58" s="126" customFormat="1" ht="154">
      <c r="A158" s="472"/>
      <c r="B158" s="472" t="s">
        <v>519</v>
      </c>
      <c r="C158" s="472"/>
      <c r="D158" s="181">
        <v>10097921</v>
      </c>
      <c r="E158" s="472"/>
      <c r="F158" s="471" t="s">
        <v>469</v>
      </c>
      <c r="G158" s="174" t="s">
        <v>463</v>
      </c>
      <c r="H158" s="175">
        <v>44272</v>
      </c>
      <c r="I158" s="176" t="s">
        <v>520</v>
      </c>
      <c r="J158" s="175">
        <v>44286</v>
      </c>
      <c r="K158" s="176"/>
      <c r="L158" s="176"/>
      <c r="M158" s="176" t="s">
        <v>383</v>
      </c>
      <c r="N158" s="176" t="s">
        <v>383</v>
      </c>
      <c r="O158" s="176" t="s">
        <v>383</v>
      </c>
      <c r="P158" s="176" t="s">
        <v>383</v>
      </c>
      <c r="Q158" s="472" t="s">
        <v>49</v>
      </c>
      <c r="R158" s="472" t="s">
        <v>463</v>
      </c>
      <c r="S158" s="472">
        <f t="shared" si="124"/>
        <v>24</v>
      </c>
      <c r="T158" s="81">
        <v>24</v>
      </c>
      <c r="U158" s="472">
        <v>0</v>
      </c>
      <c r="V158" s="472">
        <v>24</v>
      </c>
      <c r="W158" s="81" t="s">
        <v>521</v>
      </c>
      <c r="X158" s="472" t="s">
        <v>522</v>
      </c>
      <c r="Y158" s="472"/>
      <c r="Z158" s="472" t="s">
        <v>54</v>
      </c>
      <c r="AA158" s="472" t="s">
        <v>54</v>
      </c>
      <c r="AB158" s="472" t="s">
        <v>54</v>
      </c>
      <c r="AC158" s="472" t="s">
        <v>48</v>
      </c>
      <c r="AD158" s="472" t="s">
        <v>54</v>
      </c>
      <c r="AE158" s="472" t="s">
        <v>54</v>
      </c>
      <c r="AF158" s="472" t="s">
        <v>54</v>
      </c>
      <c r="AG158" s="472" t="s">
        <v>85</v>
      </c>
      <c r="AH158" s="472" t="s">
        <v>86</v>
      </c>
      <c r="AI158" s="472" t="s">
        <v>48</v>
      </c>
      <c r="AJ158" s="472" t="s">
        <v>475</v>
      </c>
      <c r="AK158" s="472"/>
      <c r="AL158" s="472" t="s">
        <v>57</v>
      </c>
      <c r="AM158" s="472"/>
      <c r="AN158" s="472"/>
      <c r="AO158" s="472"/>
      <c r="AP158" s="472"/>
      <c r="AQ158" s="472"/>
      <c r="AR158" s="135">
        <f>COUNTIF(B:B,B158)</f>
        <v>1</v>
      </c>
      <c r="AS158" s="135" t="str">
        <f t="shared" si="104"/>
        <v>2021_03_17_a</v>
      </c>
      <c r="AT158" s="136"/>
      <c r="AU158" s="135" t="str">
        <f t="shared" si="105"/>
        <v>2021</v>
      </c>
      <c r="AV158" s="135" t="str">
        <f t="shared" si="106"/>
        <v>03</v>
      </c>
      <c r="AW158" s="135" t="str">
        <f t="shared" si="107"/>
        <v>17</v>
      </c>
      <c r="AX158" s="135">
        <f t="shared" si="108"/>
        <v>44272</v>
      </c>
      <c r="AY158" s="137"/>
      <c r="AZ158" s="138">
        <f t="shared" si="109"/>
        <v>44272</v>
      </c>
      <c r="BA158" s="135" t="b">
        <f t="shared" si="110"/>
        <v>1</v>
      </c>
      <c r="BB158" s="135">
        <f t="shared" si="111"/>
        <v>44272</v>
      </c>
      <c r="BC158" s="135" t="str">
        <f t="shared" si="112"/>
        <v>no</v>
      </c>
      <c r="BD158" s="135" t="b">
        <f t="shared" si="113"/>
        <v>0</v>
      </c>
      <c r="BE158" s="139" t="s">
        <v>59</v>
      </c>
      <c r="BF158" s="136"/>
    </row>
    <row r="159" spans="1:58" s="126" customFormat="1" ht="154">
      <c r="A159" s="472"/>
      <c r="B159" s="81" t="s">
        <v>523</v>
      </c>
      <c r="C159" s="81"/>
      <c r="D159" s="81">
        <v>10101652</v>
      </c>
      <c r="E159" s="81"/>
      <c r="F159" s="487" t="s">
        <v>469</v>
      </c>
      <c r="G159" s="179" t="s">
        <v>463</v>
      </c>
      <c r="H159" s="167">
        <v>44368</v>
      </c>
      <c r="I159" s="180"/>
      <c r="J159" s="167">
        <v>44382</v>
      </c>
      <c r="K159" s="180"/>
      <c r="L159" s="180"/>
      <c r="M159" s="180"/>
      <c r="N159" s="180"/>
      <c r="O159" s="180"/>
      <c r="P159" s="180"/>
      <c r="Q159" s="81"/>
      <c r="R159" s="81" t="s">
        <v>524</v>
      </c>
      <c r="S159" s="81">
        <f>U159+V159</f>
        <v>22</v>
      </c>
      <c r="T159" s="81">
        <v>24</v>
      </c>
      <c r="U159" s="81">
        <v>0</v>
      </c>
      <c r="V159" s="472">
        <v>22</v>
      </c>
      <c r="W159" s="81" t="s">
        <v>509</v>
      </c>
      <c r="X159" s="81" t="s">
        <v>525</v>
      </c>
      <c r="Y159" s="81"/>
      <c r="Z159" s="81" t="s">
        <v>54</v>
      </c>
      <c r="AA159" s="81" t="s">
        <v>52</v>
      </c>
      <c r="AB159" s="81" t="s">
        <v>54</v>
      </c>
      <c r="AC159" s="81" t="s">
        <v>48</v>
      </c>
      <c r="AD159" s="81" t="s">
        <v>54</v>
      </c>
      <c r="AE159" s="81" t="s">
        <v>54</v>
      </c>
      <c r="AF159" s="81" t="s">
        <v>54</v>
      </c>
      <c r="AG159" s="81" t="s">
        <v>85</v>
      </c>
      <c r="AH159" s="81" t="s">
        <v>86</v>
      </c>
      <c r="AI159" s="81" t="s">
        <v>48</v>
      </c>
      <c r="AJ159" s="81" t="s">
        <v>86</v>
      </c>
      <c r="AK159" s="81"/>
      <c r="AL159" s="81" t="s">
        <v>57</v>
      </c>
      <c r="AM159" s="472"/>
      <c r="AN159" s="472"/>
      <c r="AO159" s="472"/>
      <c r="AP159" s="472"/>
      <c r="AQ159" s="472"/>
      <c r="AR159" s="135">
        <f>COUNTIF(B:B,B159)</f>
        <v>1</v>
      </c>
      <c r="AS159" s="135" t="str">
        <f t="shared" si="104"/>
        <v>2021_06_21_a</v>
      </c>
      <c r="AT159" s="136"/>
      <c r="AU159" s="135" t="str">
        <f t="shared" si="105"/>
        <v>2021</v>
      </c>
      <c r="AV159" s="135" t="str">
        <f t="shared" si="106"/>
        <v>06</v>
      </c>
      <c r="AW159" s="135" t="str">
        <f t="shared" si="107"/>
        <v>21</v>
      </c>
      <c r="AX159" s="135">
        <f t="shared" si="108"/>
        <v>44368</v>
      </c>
      <c r="AY159" s="137"/>
      <c r="AZ159" s="138">
        <f t="shared" si="109"/>
        <v>44368</v>
      </c>
      <c r="BA159" s="135" t="b">
        <f t="shared" si="110"/>
        <v>1</v>
      </c>
      <c r="BB159" s="135">
        <f t="shared" si="111"/>
        <v>44368</v>
      </c>
      <c r="BC159" s="135" t="str">
        <f t="shared" si="112"/>
        <v>no</v>
      </c>
      <c r="BD159" s="135" t="b">
        <f t="shared" si="113"/>
        <v>0</v>
      </c>
      <c r="BE159" s="139" t="s">
        <v>59</v>
      </c>
      <c r="BF159" s="136"/>
    </row>
    <row r="160" spans="1:58" s="126" customFormat="1" ht="154">
      <c r="A160" s="472"/>
      <c r="B160" s="127" t="s">
        <v>526</v>
      </c>
      <c r="C160" s="81"/>
      <c r="D160" s="81">
        <v>10103133</v>
      </c>
      <c r="E160" s="81"/>
      <c r="F160" s="487" t="s">
        <v>469</v>
      </c>
      <c r="G160" s="179" t="s">
        <v>463</v>
      </c>
      <c r="H160" s="167">
        <v>44413</v>
      </c>
      <c r="I160" s="180"/>
      <c r="J160" s="167">
        <v>44423</v>
      </c>
      <c r="K160" s="180"/>
      <c r="L160" s="180"/>
      <c r="M160" s="180"/>
      <c r="N160" s="180"/>
      <c r="O160" s="180"/>
      <c r="P160" s="180"/>
      <c r="Q160" s="81"/>
      <c r="R160" s="81"/>
      <c r="S160" s="81">
        <f>U160+V160</f>
        <v>19</v>
      </c>
      <c r="T160" s="81">
        <v>24</v>
      </c>
      <c r="U160" s="81">
        <v>0</v>
      </c>
      <c r="V160" s="472">
        <v>19</v>
      </c>
      <c r="W160" s="81" t="s">
        <v>527</v>
      </c>
      <c r="X160" s="81" t="s">
        <v>522</v>
      </c>
      <c r="Y160" s="81"/>
      <c r="Z160" s="81" t="s">
        <v>54</v>
      </c>
      <c r="AA160" s="81" t="s">
        <v>52</v>
      </c>
      <c r="AB160" s="81" t="s">
        <v>54</v>
      </c>
      <c r="AC160" s="81" t="s">
        <v>48</v>
      </c>
      <c r="AD160" s="81" t="s">
        <v>54</v>
      </c>
      <c r="AE160" s="81" t="s">
        <v>54</v>
      </c>
      <c r="AF160" s="81" t="s">
        <v>54</v>
      </c>
      <c r="AG160" s="81" t="s">
        <v>85</v>
      </c>
      <c r="AH160" s="81" t="s">
        <v>86</v>
      </c>
      <c r="AI160" s="81" t="s">
        <v>48</v>
      </c>
      <c r="AJ160" s="81" t="s">
        <v>86</v>
      </c>
      <c r="AK160" s="81"/>
      <c r="AL160" s="81" t="s">
        <v>57</v>
      </c>
      <c r="AM160" s="472"/>
      <c r="AN160" s="472"/>
      <c r="AO160" s="472"/>
      <c r="AP160" s="472"/>
      <c r="AQ160" s="472"/>
      <c r="AR160" s="135">
        <f>COUNTIF(B:B,B160)</f>
        <v>1</v>
      </c>
      <c r="AS160" s="135" t="str">
        <f t="shared" si="104"/>
        <v>2021_08_05_a</v>
      </c>
      <c r="AT160" s="136"/>
      <c r="AU160" s="135" t="str">
        <f t="shared" si="105"/>
        <v>2021</v>
      </c>
      <c r="AV160" s="135" t="str">
        <f t="shared" si="106"/>
        <v>08</v>
      </c>
      <c r="AW160" s="135" t="str">
        <f t="shared" si="107"/>
        <v>05</v>
      </c>
      <c r="AX160" s="135">
        <f t="shared" si="108"/>
        <v>44413</v>
      </c>
      <c r="AY160" s="137"/>
      <c r="AZ160" s="138">
        <f t="shared" si="109"/>
        <v>44413</v>
      </c>
      <c r="BA160" s="135" t="b">
        <f t="shared" si="110"/>
        <v>1</v>
      </c>
      <c r="BB160" s="135">
        <f t="shared" si="111"/>
        <v>44413</v>
      </c>
      <c r="BC160" s="135" t="str">
        <f t="shared" si="112"/>
        <v>no</v>
      </c>
      <c r="BD160" s="135" t="b">
        <f t="shared" si="113"/>
        <v>0</v>
      </c>
      <c r="BE160" s="139" t="s">
        <v>59</v>
      </c>
      <c r="BF160" s="136"/>
    </row>
    <row r="161" spans="1:58" s="127" customFormat="1" ht="154">
      <c r="B161" s="127" t="s">
        <v>528</v>
      </c>
      <c r="D161" s="127">
        <v>10105619</v>
      </c>
      <c r="F161" s="182" t="s">
        <v>469</v>
      </c>
      <c r="G161" s="183" t="s">
        <v>463</v>
      </c>
      <c r="H161" s="184">
        <v>44459</v>
      </c>
      <c r="I161" s="185">
        <v>44470</v>
      </c>
      <c r="J161" s="184">
        <v>44473</v>
      </c>
      <c r="K161" s="185">
        <v>44126</v>
      </c>
      <c r="L161" s="185">
        <v>44494</v>
      </c>
      <c r="M161" s="185" t="s">
        <v>383</v>
      </c>
      <c r="N161" s="185" t="s">
        <v>383</v>
      </c>
      <c r="O161" s="185" t="s">
        <v>383</v>
      </c>
      <c r="P161" s="185" t="s">
        <v>383</v>
      </c>
      <c r="Q161" s="127" t="s">
        <v>93</v>
      </c>
      <c r="R161" s="127" t="s">
        <v>463</v>
      </c>
      <c r="S161" s="81">
        <f t="shared" ref="S161:S181" si="125">U161+V161</f>
        <v>42</v>
      </c>
      <c r="T161" s="81">
        <v>42</v>
      </c>
      <c r="U161" s="127">
        <v>0</v>
      </c>
      <c r="V161" s="472">
        <v>42</v>
      </c>
      <c r="W161" s="81" t="s">
        <v>509</v>
      </c>
      <c r="X161" s="127" t="s">
        <v>522</v>
      </c>
      <c r="Z161" s="127" t="s">
        <v>54</v>
      </c>
      <c r="AA161" s="127" t="s">
        <v>52</v>
      </c>
      <c r="AB161" s="127" t="s">
        <v>54</v>
      </c>
      <c r="AC161" s="127" t="s">
        <v>48</v>
      </c>
      <c r="AD161" s="127" t="s">
        <v>54</v>
      </c>
      <c r="AE161" s="127" t="s">
        <v>54</v>
      </c>
      <c r="AF161" s="127" t="s">
        <v>54</v>
      </c>
      <c r="AG161" s="127" t="s">
        <v>85</v>
      </c>
      <c r="AH161" s="127" t="s">
        <v>86</v>
      </c>
      <c r="AI161" s="127" t="s">
        <v>48</v>
      </c>
      <c r="AJ161" s="127" t="s">
        <v>529</v>
      </c>
      <c r="AL161" s="127" t="s">
        <v>57</v>
      </c>
      <c r="AR161" s="135">
        <f>COUNTIF(B:B,B161)</f>
        <v>1</v>
      </c>
      <c r="AS161" s="135" t="str">
        <f t="shared" si="104"/>
        <v>2021_09_20_a</v>
      </c>
      <c r="AT161" s="136"/>
      <c r="AU161" s="135" t="str">
        <f t="shared" si="105"/>
        <v>2021</v>
      </c>
      <c r="AV161" s="135" t="str">
        <f t="shared" si="106"/>
        <v>09</v>
      </c>
      <c r="AW161" s="135" t="str">
        <f t="shared" si="107"/>
        <v>20</v>
      </c>
      <c r="AX161" s="135">
        <f t="shared" si="108"/>
        <v>44459</v>
      </c>
      <c r="AY161" s="137"/>
      <c r="AZ161" s="138">
        <f t="shared" si="109"/>
        <v>44459</v>
      </c>
      <c r="BA161" s="135" t="b">
        <f t="shared" si="110"/>
        <v>1</v>
      </c>
      <c r="BB161" s="135">
        <f t="shared" si="111"/>
        <v>44459</v>
      </c>
      <c r="BC161" s="135" t="str">
        <f t="shared" si="112"/>
        <v>no</v>
      </c>
      <c r="BD161" s="135" t="b">
        <f t="shared" si="113"/>
        <v>0</v>
      </c>
      <c r="BE161" s="139" t="s">
        <v>59</v>
      </c>
      <c r="BF161" s="136"/>
    </row>
    <row r="162" spans="1:58" s="127" customFormat="1" ht="154">
      <c r="B162" s="127" t="s">
        <v>530</v>
      </c>
      <c r="D162" s="127">
        <v>10210275</v>
      </c>
      <c r="F162" s="182" t="s">
        <v>469</v>
      </c>
      <c r="G162" s="183" t="s">
        <v>463</v>
      </c>
      <c r="H162" s="184">
        <v>44473</v>
      </c>
      <c r="I162" s="185">
        <v>44849</v>
      </c>
      <c r="J162" s="184">
        <v>44487</v>
      </c>
      <c r="K162" s="185"/>
      <c r="L162" s="185"/>
      <c r="M162" s="185"/>
      <c r="N162" s="185"/>
      <c r="O162" s="185"/>
      <c r="P162" s="185"/>
      <c r="R162" s="127" t="s">
        <v>516</v>
      </c>
      <c r="S162" s="81">
        <f t="shared" si="125"/>
        <v>24</v>
      </c>
      <c r="T162" s="81">
        <v>24</v>
      </c>
      <c r="U162" s="127">
        <v>0</v>
      </c>
      <c r="V162" s="472">
        <v>24</v>
      </c>
      <c r="W162" s="81" t="s">
        <v>509</v>
      </c>
      <c r="X162" s="127" t="s">
        <v>531</v>
      </c>
      <c r="Z162" s="127" t="s">
        <v>54</v>
      </c>
      <c r="AA162" s="127" t="s">
        <v>52</v>
      </c>
      <c r="AB162" s="127" t="s">
        <v>512</v>
      </c>
      <c r="AC162" s="127" t="s">
        <v>511</v>
      </c>
      <c r="AD162" s="127" t="s">
        <v>512</v>
      </c>
      <c r="AE162" s="127" t="s">
        <v>512</v>
      </c>
      <c r="AF162" s="127" t="s">
        <v>512</v>
      </c>
      <c r="AG162" s="127" t="s">
        <v>85</v>
      </c>
      <c r="AH162" s="127" t="s">
        <v>529</v>
      </c>
      <c r="AI162" s="127" t="s">
        <v>48</v>
      </c>
      <c r="AJ162" s="127" t="s">
        <v>532</v>
      </c>
      <c r="AL162" s="127" t="s">
        <v>513</v>
      </c>
      <c r="AR162" s="135">
        <f>COUNTIF(B:B,B162)</f>
        <v>1</v>
      </c>
      <c r="AS162" s="135" t="str">
        <f t="shared" si="104"/>
        <v>2021_10_04_a</v>
      </c>
      <c r="AT162" s="136"/>
      <c r="AU162" s="135" t="str">
        <f t="shared" si="105"/>
        <v>2021</v>
      </c>
      <c r="AV162" s="135" t="str">
        <f t="shared" si="106"/>
        <v>10</v>
      </c>
      <c r="AW162" s="135" t="str">
        <f t="shared" si="107"/>
        <v>04</v>
      </c>
      <c r="AX162" s="135">
        <f t="shared" si="108"/>
        <v>44473</v>
      </c>
      <c r="AY162" s="137"/>
      <c r="AZ162" s="138">
        <f t="shared" si="109"/>
        <v>44473</v>
      </c>
      <c r="BA162" s="135" t="b">
        <f t="shared" si="110"/>
        <v>1</v>
      </c>
      <c r="BB162" s="135">
        <f t="shared" si="111"/>
        <v>44473</v>
      </c>
      <c r="BC162" s="135" t="str">
        <f t="shared" si="112"/>
        <v>no</v>
      </c>
      <c r="BD162" s="135" t="b">
        <f t="shared" si="113"/>
        <v>0</v>
      </c>
      <c r="BE162" s="139" t="s">
        <v>59</v>
      </c>
      <c r="BF162" s="136"/>
    </row>
    <row r="163" spans="1:58" s="127" customFormat="1" ht="154">
      <c r="B163" s="127" t="s">
        <v>533</v>
      </c>
      <c r="D163" s="186">
        <v>10220966</v>
      </c>
      <c r="F163" s="182" t="s">
        <v>469</v>
      </c>
      <c r="G163" s="183" t="s">
        <v>463</v>
      </c>
      <c r="H163" s="184">
        <v>44494</v>
      </c>
      <c r="I163" s="185">
        <v>44505</v>
      </c>
      <c r="J163" s="184">
        <v>44508</v>
      </c>
      <c r="K163" s="185">
        <v>44519</v>
      </c>
      <c r="L163" s="185">
        <v>44522</v>
      </c>
      <c r="M163" s="185" t="s">
        <v>383</v>
      </c>
      <c r="N163" s="185" t="s">
        <v>383</v>
      </c>
      <c r="O163" s="185" t="s">
        <v>383</v>
      </c>
      <c r="P163" s="185" t="s">
        <v>383</v>
      </c>
      <c r="Q163" s="127" t="s">
        <v>106</v>
      </c>
      <c r="R163" s="127" t="s">
        <v>463</v>
      </c>
      <c r="S163" s="81">
        <f t="shared" si="125"/>
        <v>26</v>
      </c>
      <c r="T163" s="127">
        <v>26</v>
      </c>
      <c r="U163" s="127">
        <v>0</v>
      </c>
      <c r="V163" s="472">
        <v>26</v>
      </c>
      <c r="W163" s="127" t="s">
        <v>509</v>
      </c>
      <c r="X163" s="127" t="s">
        <v>522</v>
      </c>
      <c r="Z163" s="127" t="s">
        <v>54</v>
      </c>
      <c r="AA163" s="127" t="s">
        <v>52</v>
      </c>
      <c r="AB163" s="127" t="s">
        <v>54</v>
      </c>
      <c r="AC163" s="127" t="s">
        <v>48</v>
      </c>
      <c r="AD163" s="127" t="s">
        <v>54</v>
      </c>
      <c r="AE163" s="127" t="s">
        <v>54</v>
      </c>
      <c r="AF163" s="127" t="s">
        <v>54</v>
      </c>
      <c r="AG163" s="127" t="s">
        <v>85</v>
      </c>
      <c r="AH163" s="127" t="s">
        <v>86</v>
      </c>
      <c r="AI163" s="127" t="s">
        <v>48</v>
      </c>
      <c r="AJ163" s="127" t="s">
        <v>529</v>
      </c>
      <c r="AL163" s="127" t="s">
        <v>57</v>
      </c>
      <c r="AR163" s="135">
        <f>COUNTIF(B:B,B163)</f>
        <v>1</v>
      </c>
      <c r="AS163" s="135" t="str">
        <f t="shared" si="104"/>
        <v>2021_10_25_a</v>
      </c>
      <c r="AT163" s="136"/>
      <c r="AU163" s="135" t="str">
        <f t="shared" si="105"/>
        <v>2021</v>
      </c>
      <c r="AV163" s="135" t="str">
        <f t="shared" si="106"/>
        <v>10</v>
      </c>
      <c r="AW163" s="135" t="str">
        <f t="shared" si="107"/>
        <v>25</v>
      </c>
      <c r="AX163" s="135">
        <f t="shared" si="108"/>
        <v>44494</v>
      </c>
      <c r="AY163" s="137"/>
      <c r="AZ163" s="138">
        <f t="shared" si="109"/>
        <v>44494</v>
      </c>
      <c r="BA163" s="135" t="b">
        <f t="shared" si="110"/>
        <v>1</v>
      </c>
      <c r="BB163" s="135">
        <f t="shared" si="111"/>
        <v>44494</v>
      </c>
      <c r="BC163" s="135" t="str">
        <f t="shared" si="112"/>
        <v>no</v>
      </c>
      <c r="BD163" s="135" t="b">
        <f t="shared" si="113"/>
        <v>0</v>
      </c>
      <c r="BE163" s="139" t="s">
        <v>59</v>
      </c>
      <c r="BF163" s="136"/>
    </row>
    <row r="164" spans="1:58" s="127" customFormat="1" ht="154">
      <c r="B164" s="127" t="s">
        <v>534</v>
      </c>
      <c r="D164" s="186">
        <v>10241236</v>
      </c>
      <c r="F164" s="182" t="s">
        <v>469</v>
      </c>
      <c r="G164" s="183" t="s">
        <v>463</v>
      </c>
      <c r="H164" s="184">
        <v>44599</v>
      </c>
      <c r="I164" s="185">
        <v>44610</v>
      </c>
      <c r="J164" s="184">
        <v>44613</v>
      </c>
      <c r="K164" s="185">
        <v>44624</v>
      </c>
      <c r="L164" s="185">
        <v>44627</v>
      </c>
      <c r="M164" s="185"/>
      <c r="N164" s="185"/>
      <c r="O164" s="185"/>
      <c r="P164" s="185"/>
      <c r="S164" s="81">
        <f t="shared" si="125"/>
        <v>17</v>
      </c>
      <c r="U164" s="127">
        <v>0</v>
      </c>
      <c r="V164" s="472">
        <v>17</v>
      </c>
      <c r="Z164" s="127" t="s">
        <v>54</v>
      </c>
      <c r="AA164" s="127" t="s">
        <v>52</v>
      </c>
      <c r="AB164" s="127" t="s">
        <v>54</v>
      </c>
      <c r="AG164" s="127" t="s">
        <v>85</v>
      </c>
      <c r="AH164" s="127" t="s">
        <v>86</v>
      </c>
      <c r="AL164" s="127" t="s">
        <v>57</v>
      </c>
      <c r="AR164" s="135">
        <f>COUNTIF(B:B,B164)</f>
        <v>1</v>
      </c>
      <c r="AS164" s="135" t="str">
        <f t="shared" si="104"/>
        <v>2022_02_07_a</v>
      </c>
      <c r="AT164" s="136"/>
      <c r="AU164" s="135" t="str">
        <f t="shared" si="105"/>
        <v>2022</v>
      </c>
      <c r="AV164" s="135" t="str">
        <f t="shared" si="106"/>
        <v>02</v>
      </c>
      <c r="AW164" s="135" t="str">
        <f t="shared" si="107"/>
        <v>07</v>
      </c>
      <c r="AX164" s="135">
        <f t="shared" si="108"/>
        <v>44599</v>
      </c>
      <c r="AY164" s="137"/>
      <c r="AZ164" s="138">
        <f t="shared" si="109"/>
        <v>44599</v>
      </c>
      <c r="BA164" s="135" t="b">
        <f t="shared" si="110"/>
        <v>1</v>
      </c>
      <c r="BB164" s="135">
        <f t="shared" si="111"/>
        <v>44599</v>
      </c>
      <c r="BC164" s="135" t="str">
        <f t="shared" si="112"/>
        <v>no</v>
      </c>
      <c r="BD164" s="135" t="b">
        <f t="shared" si="113"/>
        <v>0</v>
      </c>
      <c r="BE164" s="139" t="s">
        <v>59</v>
      </c>
      <c r="BF164" s="136"/>
    </row>
    <row r="165" spans="1:58" s="127" customFormat="1" ht="154">
      <c r="B165" s="127" t="s">
        <v>535</v>
      </c>
      <c r="D165" s="186">
        <v>10247091</v>
      </c>
      <c r="F165" s="182" t="s">
        <v>469</v>
      </c>
      <c r="G165" s="183" t="s">
        <v>463</v>
      </c>
      <c r="H165" s="184">
        <v>44620</v>
      </c>
      <c r="I165" s="185">
        <v>44631</v>
      </c>
      <c r="J165" s="184">
        <v>44634</v>
      </c>
      <c r="K165" s="185">
        <v>44645</v>
      </c>
      <c r="L165" s="185">
        <v>44648</v>
      </c>
      <c r="M165" s="185"/>
      <c r="N165" s="185"/>
      <c r="O165" s="185"/>
      <c r="P165" s="185"/>
      <c r="R165" s="127" t="s">
        <v>516</v>
      </c>
      <c r="S165" s="81">
        <f t="shared" si="125"/>
        <v>12</v>
      </c>
      <c r="U165" s="127">
        <v>0</v>
      </c>
      <c r="V165" s="472">
        <v>12</v>
      </c>
      <c r="X165" s="127" t="s">
        <v>536</v>
      </c>
      <c r="Z165" s="127" t="s">
        <v>54</v>
      </c>
      <c r="AA165" s="127" t="s">
        <v>52</v>
      </c>
      <c r="AB165" s="127" t="s">
        <v>54</v>
      </c>
      <c r="AG165" s="127" t="s">
        <v>85</v>
      </c>
      <c r="AH165" s="127" t="s">
        <v>86</v>
      </c>
      <c r="AL165" s="127" t="s">
        <v>57</v>
      </c>
      <c r="AR165" s="135">
        <f>COUNTIF(B:B,B165)</f>
        <v>1</v>
      </c>
      <c r="AS165" s="135" t="str">
        <f t="shared" si="104"/>
        <v>2022_02_28_a</v>
      </c>
      <c r="AT165" s="136"/>
      <c r="AU165" s="135" t="str">
        <f t="shared" si="105"/>
        <v>2022</v>
      </c>
      <c r="AV165" s="135" t="str">
        <f t="shared" si="106"/>
        <v>02</v>
      </c>
      <c r="AW165" s="135" t="str">
        <f t="shared" si="107"/>
        <v>28</v>
      </c>
      <c r="AX165" s="135">
        <f t="shared" si="108"/>
        <v>44620</v>
      </c>
      <c r="AY165" s="137"/>
      <c r="AZ165" s="138">
        <f t="shared" si="109"/>
        <v>44620</v>
      </c>
      <c r="BA165" s="135" t="b">
        <f t="shared" si="110"/>
        <v>1</v>
      </c>
      <c r="BB165" s="135">
        <f t="shared" si="111"/>
        <v>44620</v>
      </c>
      <c r="BC165" s="135" t="str">
        <f t="shared" si="112"/>
        <v>no</v>
      </c>
      <c r="BD165" s="135" t="b">
        <f t="shared" si="113"/>
        <v>0</v>
      </c>
      <c r="BE165" s="139" t="s">
        <v>59</v>
      </c>
      <c r="BF165" s="136"/>
    </row>
    <row r="166" spans="1:58" s="127" customFormat="1" ht="154">
      <c r="B166" s="127" t="s">
        <v>537</v>
      </c>
      <c r="D166" s="186">
        <v>10245051</v>
      </c>
      <c r="F166" s="182" t="s">
        <v>469</v>
      </c>
      <c r="G166" s="183" t="s">
        <v>463</v>
      </c>
      <c r="H166" s="184">
        <v>44627</v>
      </c>
      <c r="I166" s="185">
        <v>44638</v>
      </c>
      <c r="J166" s="184">
        <v>44641</v>
      </c>
      <c r="K166" s="185">
        <v>44652</v>
      </c>
      <c r="L166" s="185">
        <v>44655</v>
      </c>
      <c r="M166" s="185"/>
      <c r="N166" s="185"/>
      <c r="O166" s="185"/>
      <c r="P166" s="185"/>
      <c r="R166" s="127" t="s">
        <v>538</v>
      </c>
      <c r="S166" s="81">
        <f t="shared" si="125"/>
        <v>35</v>
      </c>
      <c r="U166" s="127">
        <v>0</v>
      </c>
      <c r="V166" s="472">
        <v>35</v>
      </c>
      <c r="Z166" s="127" t="s">
        <v>54</v>
      </c>
      <c r="AA166" s="127" t="s">
        <v>52</v>
      </c>
      <c r="AB166" s="127" t="s">
        <v>54</v>
      </c>
      <c r="AG166" s="127" t="s">
        <v>85</v>
      </c>
      <c r="AH166" s="127" t="s">
        <v>86</v>
      </c>
      <c r="AL166" s="127" t="s">
        <v>57</v>
      </c>
      <c r="AR166" s="135">
        <f>COUNTIF(B:B,B166)</f>
        <v>1</v>
      </c>
      <c r="AS166" s="135" t="str">
        <f t="shared" si="104"/>
        <v>2022_03_07_a</v>
      </c>
      <c r="AT166" s="136"/>
      <c r="AU166" s="135" t="str">
        <f t="shared" si="105"/>
        <v>2022</v>
      </c>
      <c r="AV166" s="135" t="str">
        <f t="shared" si="106"/>
        <v>03</v>
      </c>
      <c r="AW166" s="135" t="str">
        <f t="shared" si="107"/>
        <v>07</v>
      </c>
      <c r="AX166" s="135">
        <f t="shared" si="108"/>
        <v>44627</v>
      </c>
      <c r="AY166" s="137"/>
      <c r="AZ166" s="138">
        <f t="shared" si="109"/>
        <v>44627</v>
      </c>
      <c r="BA166" s="135" t="b">
        <f t="shared" si="110"/>
        <v>1</v>
      </c>
      <c r="BB166" s="135">
        <f t="shared" si="111"/>
        <v>44627</v>
      </c>
      <c r="BC166" s="135" t="str">
        <f t="shared" si="112"/>
        <v>no</v>
      </c>
      <c r="BD166" s="135" t="b">
        <f t="shared" si="113"/>
        <v>0</v>
      </c>
      <c r="BE166" s="139" t="s">
        <v>59</v>
      </c>
      <c r="BF166" s="136"/>
    </row>
    <row r="167" spans="1:58" s="127" customFormat="1" ht="154">
      <c r="B167" s="127" t="s">
        <v>539</v>
      </c>
      <c r="D167" s="186">
        <v>10258378</v>
      </c>
      <c r="F167" s="182" t="s">
        <v>469</v>
      </c>
      <c r="G167" s="183" t="s">
        <v>463</v>
      </c>
      <c r="H167" s="184">
        <v>44641</v>
      </c>
      <c r="I167" s="185">
        <v>44652</v>
      </c>
      <c r="J167" s="184">
        <v>44655</v>
      </c>
      <c r="K167" s="185">
        <v>44666</v>
      </c>
      <c r="L167" s="185">
        <v>44669</v>
      </c>
      <c r="M167" s="185"/>
      <c r="N167" s="185"/>
      <c r="O167" s="185"/>
      <c r="P167" s="185"/>
      <c r="S167" s="81">
        <f t="shared" si="125"/>
        <v>14</v>
      </c>
      <c r="U167" s="127">
        <v>0</v>
      </c>
      <c r="V167" s="472">
        <v>14</v>
      </c>
      <c r="Z167" s="127" t="s">
        <v>54</v>
      </c>
      <c r="AA167" s="127" t="s">
        <v>52</v>
      </c>
      <c r="AB167" s="127" t="s">
        <v>54</v>
      </c>
      <c r="AG167" s="127" t="s">
        <v>85</v>
      </c>
      <c r="AH167" s="127" t="s">
        <v>86</v>
      </c>
      <c r="AL167" s="127" t="s">
        <v>57</v>
      </c>
      <c r="AR167" s="135">
        <f>COUNTIF(B:B,B167)</f>
        <v>1</v>
      </c>
      <c r="AS167" s="135" t="str">
        <f t="shared" si="104"/>
        <v>2022_03_21_a</v>
      </c>
      <c r="AT167" s="136"/>
      <c r="AU167" s="135" t="str">
        <f t="shared" si="105"/>
        <v>2022</v>
      </c>
      <c r="AV167" s="135" t="str">
        <f t="shared" si="106"/>
        <v>03</v>
      </c>
      <c r="AW167" s="135" t="str">
        <f t="shared" si="107"/>
        <v>21</v>
      </c>
      <c r="AX167" s="135">
        <f t="shared" si="108"/>
        <v>44641</v>
      </c>
      <c r="AY167" s="137"/>
      <c r="AZ167" s="138">
        <f t="shared" si="109"/>
        <v>44641</v>
      </c>
      <c r="BA167" s="135" t="b">
        <f t="shared" si="110"/>
        <v>1</v>
      </c>
      <c r="BB167" s="135">
        <f t="shared" si="111"/>
        <v>44641</v>
      </c>
      <c r="BC167" s="135" t="str">
        <f t="shared" si="112"/>
        <v>no</v>
      </c>
      <c r="BD167" s="135" t="b">
        <f t="shared" si="113"/>
        <v>0</v>
      </c>
      <c r="BE167" s="139" t="s">
        <v>59</v>
      </c>
      <c r="BF167" s="136"/>
    </row>
    <row r="168" spans="1:58" s="127" customFormat="1" ht="154">
      <c r="B168" s="127" t="s">
        <v>540</v>
      </c>
      <c r="D168" s="186">
        <v>10262298</v>
      </c>
      <c r="F168" s="182" t="s">
        <v>469</v>
      </c>
      <c r="G168" s="183" t="s">
        <v>463</v>
      </c>
      <c r="H168" s="184">
        <v>44684</v>
      </c>
      <c r="I168" s="185">
        <v>44694</v>
      </c>
      <c r="J168" s="184">
        <v>44697</v>
      </c>
      <c r="K168" s="185">
        <v>44708</v>
      </c>
      <c r="L168" s="185">
        <v>44711</v>
      </c>
      <c r="M168" s="185"/>
      <c r="N168" s="185"/>
      <c r="O168" s="185"/>
      <c r="P168" s="185"/>
      <c r="S168" s="81">
        <f t="shared" si="125"/>
        <v>25</v>
      </c>
      <c r="U168" s="127">
        <v>0</v>
      </c>
      <c r="V168" s="472">
        <v>25</v>
      </c>
      <c r="Z168" s="127" t="s">
        <v>54</v>
      </c>
      <c r="AA168" s="127" t="s">
        <v>52</v>
      </c>
      <c r="AB168" s="127" t="s">
        <v>54</v>
      </c>
      <c r="AG168" s="127" t="s">
        <v>85</v>
      </c>
      <c r="AH168" s="127" t="s">
        <v>86</v>
      </c>
      <c r="AL168" s="127" t="s">
        <v>57</v>
      </c>
      <c r="AR168" s="135">
        <f>COUNTIF(B:B,B168)</f>
        <v>1</v>
      </c>
      <c r="AS168" s="135" t="str">
        <f t="shared" si="104"/>
        <v>2022_05_03_a</v>
      </c>
      <c r="AT168" s="136"/>
      <c r="AU168" s="135" t="str">
        <f t="shared" si="105"/>
        <v>2022</v>
      </c>
      <c r="AV168" s="135" t="str">
        <f t="shared" si="106"/>
        <v>05</v>
      </c>
      <c r="AW168" s="135" t="str">
        <f t="shared" si="107"/>
        <v>03</v>
      </c>
      <c r="AX168" s="135">
        <f t="shared" si="108"/>
        <v>44684</v>
      </c>
      <c r="AY168" s="137"/>
      <c r="AZ168" s="138">
        <f t="shared" si="109"/>
        <v>44684</v>
      </c>
      <c r="BA168" s="135" t="b">
        <f t="shared" si="110"/>
        <v>1</v>
      </c>
      <c r="BB168" s="135">
        <f t="shared" si="111"/>
        <v>44684</v>
      </c>
      <c r="BC168" s="135" t="str">
        <f t="shared" si="112"/>
        <v>no</v>
      </c>
      <c r="BD168" s="135" t="b">
        <f t="shared" si="113"/>
        <v>0</v>
      </c>
      <c r="BE168" s="139" t="s">
        <v>59</v>
      </c>
      <c r="BF168" s="136"/>
    </row>
    <row r="169" spans="1:58" s="127" customFormat="1" ht="154">
      <c r="B169" s="127" t="s">
        <v>541</v>
      </c>
      <c r="D169" s="186">
        <v>10277780</v>
      </c>
      <c r="F169" s="182" t="s">
        <v>469</v>
      </c>
      <c r="G169" s="183" t="s">
        <v>463</v>
      </c>
      <c r="H169" s="184">
        <v>44781</v>
      </c>
      <c r="I169" s="185">
        <v>44792</v>
      </c>
      <c r="J169" s="184">
        <v>44795</v>
      </c>
      <c r="K169" s="185">
        <v>44806</v>
      </c>
      <c r="L169" s="185"/>
      <c r="M169" s="185"/>
      <c r="N169" s="185"/>
      <c r="O169" s="185"/>
      <c r="P169" s="185"/>
      <c r="S169" s="81">
        <f t="shared" si="125"/>
        <v>20</v>
      </c>
      <c r="U169" s="127">
        <v>0</v>
      </c>
      <c r="V169" s="472">
        <v>20</v>
      </c>
      <c r="Z169" s="127" t="s">
        <v>54</v>
      </c>
      <c r="AA169" s="127" t="s">
        <v>52</v>
      </c>
      <c r="AG169" s="127" t="s">
        <v>85</v>
      </c>
      <c r="AH169" s="127" t="s">
        <v>86</v>
      </c>
      <c r="AL169" s="127" t="s">
        <v>57</v>
      </c>
      <c r="AR169" s="135">
        <f>COUNTIF(B:B,B169)</f>
        <v>1</v>
      </c>
      <c r="AS169" s="135" t="str">
        <f t="shared" si="104"/>
        <v>2022_08_08_a</v>
      </c>
      <c r="AT169" s="136"/>
      <c r="AU169" s="135" t="str">
        <f t="shared" si="105"/>
        <v>2022</v>
      </c>
      <c r="AV169" s="135" t="str">
        <f t="shared" si="106"/>
        <v>08</v>
      </c>
      <c r="AW169" s="135" t="str">
        <f t="shared" si="107"/>
        <v>08</v>
      </c>
      <c r="AX169" s="135">
        <f t="shared" si="108"/>
        <v>44781</v>
      </c>
      <c r="AY169" s="137"/>
      <c r="AZ169" s="138">
        <f t="shared" si="109"/>
        <v>44781</v>
      </c>
      <c r="BA169" s="135" t="b">
        <f t="shared" si="110"/>
        <v>1</v>
      </c>
      <c r="BB169" s="135">
        <f t="shared" si="111"/>
        <v>44781</v>
      </c>
      <c r="BC169" s="135" t="str">
        <f t="shared" si="112"/>
        <v>no</v>
      </c>
      <c r="BD169" s="135" t="b">
        <f t="shared" si="113"/>
        <v>0</v>
      </c>
      <c r="BE169" s="139" t="s">
        <v>59</v>
      </c>
      <c r="BF169" s="136"/>
    </row>
    <row r="170" spans="1:58" s="127" customFormat="1" ht="154">
      <c r="B170" s="127" t="s">
        <v>542</v>
      </c>
      <c r="D170" s="186">
        <v>10295180</v>
      </c>
      <c r="F170" s="182" t="s">
        <v>469</v>
      </c>
      <c r="G170" s="183" t="s">
        <v>463</v>
      </c>
      <c r="H170" s="184">
        <v>44823</v>
      </c>
      <c r="I170" s="185">
        <v>44834</v>
      </c>
      <c r="J170" s="184">
        <v>44837</v>
      </c>
      <c r="K170" s="185">
        <v>44848</v>
      </c>
      <c r="L170" s="185">
        <v>44851</v>
      </c>
      <c r="M170" s="185"/>
      <c r="N170" s="185"/>
      <c r="O170" s="185"/>
      <c r="P170" s="185"/>
      <c r="S170" s="81">
        <f t="shared" si="125"/>
        <v>18</v>
      </c>
      <c r="U170" s="127">
        <v>0</v>
      </c>
      <c r="V170" s="472">
        <v>18</v>
      </c>
      <c r="Z170" s="127" t="s">
        <v>54</v>
      </c>
      <c r="AG170" s="127" t="s">
        <v>85</v>
      </c>
      <c r="AH170" s="127" t="s">
        <v>543</v>
      </c>
      <c r="AL170" s="127" t="s">
        <v>57</v>
      </c>
      <c r="AN170" s="127" t="s">
        <v>544</v>
      </c>
      <c r="AR170" s="135">
        <f>COUNTIF(B:B,B170)</f>
        <v>1</v>
      </c>
      <c r="AS170" s="135" t="str">
        <f t="shared" si="104"/>
        <v>2022_09_19_a</v>
      </c>
      <c r="AT170" s="136"/>
      <c r="AU170" s="135" t="str">
        <f t="shared" si="105"/>
        <v>2022</v>
      </c>
      <c r="AV170" s="135" t="str">
        <f t="shared" si="106"/>
        <v>09</v>
      </c>
      <c r="AW170" s="135" t="str">
        <f t="shared" si="107"/>
        <v>19</v>
      </c>
      <c r="AX170" s="135">
        <f t="shared" si="108"/>
        <v>44823</v>
      </c>
      <c r="AY170" s="137"/>
      <c r="AZ170" s="138">
        <f t="shared" si="109"/>
        <v>44823</v>
      </c>
      <c r="BA170" s="135" t="b">
        <f t="shared" si="110"/>
        <v>1</v>
      </c>
      <c r="BB170" s="135">
        <f t="shared" si="111"/>
        <v>44823</v>
      </c>
      <c r="BC170" s="135" t="str">
        <f t="shared" si="112"/>
        <v>no</v>
      </c>
      <c r="BD170" s="135" t="b">
        <f t="shared" si="113"/>
        <v>0</v>
      </c>
      <c r="BE170" s="139" t="s">
        <v>59</v>
      </c>
      <c r="BF170" s="136"/>
    </row>
    <row r="171" spans="1:58" s="127" customFormat="1" ht="154">
      <c r="B171" s="127" t="s">
        <v>545</v>
      </c>
      <c r="D171" s="186">
        <v>10305626</v>
      </c>
      <c r="F171" s="182" t="s">
        <v>469</v>
      </c>
      <c r="G171" s="183" t="s">
        <v>463</v>
      </c>
      <c r="H171" s="184">
        <v>44837</v>
      </c>
      <c r="I171" s="185"/>
      <c r="J171" s="184">
        <v>44851</v>
      </c>
      <c r="K171" s="185"/>
      <c r="L171" s="185"/>
      <c r="M171" s="185"/>
      <c r="N171" s="185"/>
      <c r="O171" s="185"/>
      <c r="P171" s="185"/>
      <c r="R171" s="127" t="s">
        <v>516</v>
      </c>
      <c r="S171" s="81">
        <f t="shared" si="125"/>
        <v>22</v>
      </c>
      <c r="U171" s="127">
        <v>0</v>
      </c>
      <c r="V171" s="472">
        <v>22</v>
      </c>
      <c r="Z171" s="127" t="s">
        <v>54</v>
      </c>
      <c r="AG171" s="127" t="s">
        <v>85</v>
      </c>
      <c r="AH171" s="127" t="s">
        <v>86</v>
      </c>
      <c r="AL171" s="127" t="s">
        <v>372</v>
      </c>
      <c r="AR171" s="135">
        <f>COUNTIF(B:B,B171)</f>
        <v>1</v>
      </c>
      <c r="AS171" s="135" t="str">
        <f t="shared" si="104"/>
        <v>2022_10_03_a</v>
      </c>
      <c r="AT171" s="136"/>
      <c r="AU171" s="135" t="str">
        <f t="shared" si="105"/>
        <v>2022</v>
      </c>
      <c r="AV171" s="135" t="str">
        <f t="shared" si="106"/>
        <v>10</v>
      </c>
      <c r="AW171" s="135" t="str">
        <f t="shared" si="107"/>
        <v>03</v>
      </c>
      <c r="AX171" s="135">
        <f t="shared" si="108"/>
        <v>44837</v>
      </c>
      <c r="AY171" s="137"/>
      <c r="AZ171" s="138">
        <f t="shared" si="109"/>
        <v>44837</v>
      </c>
      <c r="BA171" s="135" t="b">
        <f t="shared" si="110"/>
        <v>1</v>
      </c>
      <c r="BB171" s="135">
        <f t="shared" si="111"/>
        <v>44837</v>
      </c>
      <c r="BC171" s="135" t="str">
        <f t="shared" si="112"/>
        <v>no</v>
      </c>
      <c r="BD171" s="135" t="b">
        <f t="shared" si="113"/>
        <v>0</v>
      </c>
      <c r="BE171" s="139" t="s">
        <v>59</v>
      </c>
      <c r="BF171" s="136"/>
    </row>
    <row r="172" spans="1:58" s="127" customFormat="1" ht="154">
      <c r="B172" s="127" t="s">
        <v>546</v>
      </c>
      <c r="D172" s="186">
        <v>10312336</v>
      </c>
      <c r="F172" s="182" t="s">
        <v>469</v>
      </c>
      <c r="G172" s="183" t="s">
        <v>463</v>
      </c>
      <c r="H172" s="184">
        <v>44886</v>
      </c>
      <c r="I172" s="185">
        <v>44897</v>
      </c>
      <c r="J172" s="184">
        <v>44900</v>
      </c>
      <c r="K172" s="185">
        <v>44911</v>
      </c>
      <c r="L172" s="185">
        <v>44914</v>
      </c>
      <c r="M172" s="185"/>
      <c r="N172" s="185"/>
      <c r="O172" s="185"/>
      <c r="P172" s="185"/>
      <c r="S172" s="81">
        <f t="shared" si="125"/>
        <v>24</v>
      </c>
      <c r="U172" s="127">
        <v>0</v>
      </c>
      <c r="V172" s="472">
        <v>24</v>
      </c>
      <c r="Z172" s="127" t="s">
        <v>54</v>
      </c>
      <c r="AG172" s="127" t="s">
        <v>85</v>
      </c>
      <c r="AH172" s="127" t="s">
        <v>86</v>
      </c>
      <c r="AL172" s="127" t="s">
        <v>372</v>
      </c>
      <c r="AR172" s="135">
        <f>COUNTIF(B:B,B172)</f>
        <v>1</v>
      </c>
      <c r="AS172" s="135" t="str">
        <f t="shared" si="104"/>
        <v>2022_11_21_a</v>
      </c>
      <c r="AT172" s="136"/>
      <c r="AU172" s="135" t="str">
        <f t="shared" si="105"/>
        <v>2022</v>
      </c>
      <c r="AV172" s="135" t="str">
        <f t="shared" si="106"/>
        <v>11</v>
      </c>
      <c r="AW172" s="135" t="str">
        <f t="shared" si="107"/>
        <v>21</v>
      </c>
      <c r="AX172" s="135">
        <f t="shared" si="108"/>
        <v>44886</v>
      </c>
      <c r="AY172" s="137"/>
      <c r="AZ172" s="138">
        <f t="shared" si="109"/>
        <v>44886</v>
      </c>
      <c r="BA172" s="135" t="b">
        <f t="shared" si="110"/>
        <v>1</v>
      </c>
      <c r="BB172" s="135">
        <f t="shared" si="111"/>
        <v>44886</v>
      </c>
      <c r="BC172" s="135" t="str">
        <f t="shared" si="112"/>
        <v>no</v>
      </c>
      <c r="BD172" s="135" t="b">
        <f t="shared" si="113"/>
        <v>0</v>
      </c>
      <c r="BE172" s="139" t="s">
        <v>59</v>
      </c>
      <c r="BF172" s="136"/>
    </row>
    <row r="173" spans="1:58" s="127" customFormat="1" ht="154">
      <c r="B173" s="127" t="s">
        <v>547</v>
      </c>
      <c r="D173" s="186"/>
      <c r="F173" s="182" t="s">
        <v>469</v>
      </c>
      <c r="G173" s="183" t="s">
        <v>463</v>
      </c>
      <c r="H173" s="184">
        <v>44991</v>
      </c>
      <c r="I173" s="185">
        <v>45002</v>
      </c>
      <c r="J173" s="184">
        <v>45005</v>
      </c>
      <c r="K173" s="185"/>
      <c r="L173" s="185"/>
      <c r="M173" s="185"/>
      <c r="N173" s="185"/>
      <c r="O173" s="185"/>
      <c r="P173" s="185"/>
      <c r="R173" s="127" t="s">
        <v>548</v>
      </c>
      <c r="S173" s="81">
        <f t="shared" si="125"/>
        <v>13</v>
      </c>
      <c r="U173" s="127">
        <v>0</v>
      </c>
      <c r="V173" s="472">
        <v>13</v>
      </c>
      <c r="AG173" s="127" t="s">
        <v>85</v>
      </c>
      <c r="AH173" s="127" t="s">
        <v>283</v>
      </c>
      <c r="AR173" s="135">
        <f>COUNTIF(B:B,B173)</f>
        <v>1</v>
      </c>
      <c r="AS173" s="135" t="str">
        <f t="shared" si="104"/>
        <v>2023_03_06_a</v>
      </c>
      <c r="AT173" s="136"/>
      <c r="AU173" s="135" t="str">
        <f t="shared" si="105"/>
        <v>2023</v>
      </c>
      <c r="AV173" s="135" t="str">
        <f t="shared" si="106"/>
        <v>03</v>
      </c>
      <c r="AW173" s="135" t="str">
        <f t="shared" si="107"/>
        <v>06</v>
      </c>
      <c r="AX173" s="135">
        <f t="shared" si="108"/>
        <v>44991</v>
      </c>
      <c r="AY173" s="137"/>
      <c r="AZ173" s="138">
        <f t="shared" si="109"/>
        <v>44991</v>
      </c>
      <c r="BA173" s="135" t="b">
        <f t="shared" si="110"/>
        <v>1</v>
      </c>
      <c r="BB173" s="135">
        <f t="shared" si="111"/>
        <v>44991</v>
      </c>
      <c r="BC173" s="135" t="str">
        <f t="shared" si="112"/>
        <v>no</v>
      </c>
      <c r="BD173" s="135" t="b">
        <f t="shared" si="113"/>
        <v>0</v>
      </c>
      <c r="BE173" s="139" t="s">
        <v>59</v>
      </c>
      <c r="BF173" s="136"/>
    </row>
    <row r="174" spans="1:58" s="127" customFormat="1" ht="154">
      <c r="B174" s="127" t="s">
        <v>549</v>
      </c>
      <c r="D174" s="186"/>
      <c r="F174" s="182" t="s">
        <v>469</v>
      </c>
      <c r="G174" s="183" t="s">
        <v>463</v>
      </c>
      <c r="H174" s="184">
        <v>45005</v>
      </c>
      <c r="I174" s="185">
        <v>45016</v>
      </c>
      <c r="J174" s="184">
        <v>45019</v>
      </c>
      <c r="K174" s="185"/>
      <c r="L174" s="185"/>
      <c r="M174" s="185"/>
      <c r="N174" s="185"/>
      <c r="O174" s="185"/>
      <c r="P174" s="185"/>
      <c r="Q174" s="127" t="s">
        <v>49</v>
      </c>
      <c r="R174" s="127" t="s">
        <v>550</v>
      </c>
      <c r="S174" s="81">
        <f t="shared" si="125"/>
        <v>19</v>
      </c>
      <c r="U174" s="127">
        <v>0</v>
      </c>
      <c r="V174" s="472">
        <v>19</v>
      </c>
      <c r="AG174" s="127" t="s">
        <v>85</v>
      </c>
      <c r="AH174" s="127" t="s">
        <v>283</v>
      </c>
      <c r="AR174" s="135">
        <f>COUNTIF(B:B,B174)</f>
        <v>1</v>
      </c>
      <c r="AS174" s="135" t="str">
        <f t="shared" si="104"/>
        <v>2023_03_20_a</v>
      </c>
      <c r="AT174" s="136"/>
      <c r="AU174" s="135" t="str">
        <f t="shared" si="105"/>
        <v>2023</v>
      </c>
      <c r="AV174" s="135" t="str">
        <f t="shared" si="106"/>
        <v>03</v>
      </c>
      <c r="AW174" s="135" t="str">
        <f t="shared" si="107"/>
        <v>20</v>
      </c>
      <c r="AX174" s="135">
        <f t="shared" si="108"/>
        <v>45005</v>
      </c>
      <c r="AY174" s="137"/>
      <c r="AZ174" s="138">
        <f t="shared" si="109"/>
        <v>45005</v>
      </c>
      <c r="BA174" s="135" t="b">
        <f t="shared" si="110"/>
        <v>1</v>
      </c>
      <c r="BB174" s="135">
        <f t="shared" si="111"/>
        <v>45005</v>
      </c>
      <c r="BC174" s="135" t="str">
        <f t="shared" si="112"/>
        <v>no</v>
      </c>
      <c r="BD174" s="135" t="b">
        <f t="shared" si="113"/>
        <v>0</v>
      </c>
      <c r="BE174" s="139" t="s">
        <v>59</v>
      </c>
      <c r="BF174" s="136"/>
    </row>
    <row r="175" spans="1:58" s="127" customFormat="1" ht="154">
      <c r="B175" s="127" t="s">
        <v>551</v>
      </c>
      <c r="D175" s="186"/>
      <c r="F175" s="182" t="s">
        <v>469</v>
      </c>
      <c r="G175" s="183" t="s">
        <v>463</v>
      </c>
      <c r="H175" s="184">
        <v>45054</v>
      </c>
      <c r="I175" s="185">
        <v>45065</v>
      </c>
      <c r="J175" s="184">
        <v>45068</v>
      </c>
      <c r="K175" s="185"/>
      <c r="L175" s="185"/>
      <c r="M175" s="185"/>
      <c r="N175" s="185"/>
      <c r="O175" s="185"/>
      <c r="P175" s="185"/>
      <c r="Q175" s="127" t="s">
        <v>82</v>
      </c>
      <c r="R175" s="127" t="s">
        <v>552</v>
      </c>
      <c r="S175" s="81">
        <f t="shared" si="125"/>
        <v>24</v>
      </c>
      <c r="U175" s="127">
        <v>0</v>
      </c>
      <c r="V175" s="472">
        <v>24</v>
      </c>
      <c r="AG175" s="127" t="s">
        <v>85</v>
      </c>
      <c r="AH175" s="127" t="s">
        <v>283</v>
      </c>
      <c r="AR175" s="135">
        <f>COUNTIF(B:B,B175)</f>
        <v>1</v>
      </c>
      <c r="AS175" s="135" t="str">
        <f t="shared" si="104"/>
        <v>2023_05_08_a</v>
      </c>
      <c r="AT175" s="136"/>
      <c r="AU175" s="135" t="str">
        <f t="shared" si="105"/>
        <v>2023</v>
      </c>
      <c r="AV175" s="135" t="str">
        <f t="shared" si="106"/>
        <v>05</v>
      </c>
      <c r="AW175" s="135" t="str">
        <f t="shared" si="107"/>
        <v>08</v>
      </c>
      <c r="AX175" s="135">
        <f t="shared" si="108"/>
        <v>45054</v>
      </c>
      <c r="AY175" s="137"/>
      <c r="AZ175" s="138">
        <f t="shared" si="109"/>
        <v>45054</v>
      </c>
      <c r="BA175" s="135" t="b">
        <f t="shared" si="110"/>
        <v>1</v>
      </c>
      <c r="BB175" s="135">
        <f t="shared" si="111"/>
        <v>45054</v>
      </c>
      <c r="BC175" s="135" t="str">
        <f t="shared" si="112"/>
        <v>no</v>
      </c>
      <c r="BD175" s="135" t="b">
        <f t="shared" si="113"/>
        <v>0</v>
      </c>
      <c r="BE175" s="139" t="s">
        <v>59</v>
      </c>
      <c r="BF175" s="136"/>
    </row>
    <row r="176" spans="1:58" s="126" customFormat="1" ht="154">
      <c r="A176" s="472" t="s">
        <v>553</v>
      </c>
      <c r="B176" s="472" t="s">
        <v>554</v>
      </c>
      <c r="C176" s="472"/>
      <c r="D176" s="472">
        <v>10092288</v>
      </c>
      <c r="E176" s="472"/>
      <c r="F176" s="471" t="s">
        <v>555</v>
      </c>
      <c r="G176" s="174" t="s">
        <v>556</v>
      </c>
      <c r="H176" s="175">
        <v>44144</v>
      </c>
      <c r="I176" s="176">
        <v>44156</v>
      </c>
      <c r="J176" s="175">
        <f>WORKDAY(H176,10)</f>
        <v>44158</v>
      </c>
      <c r="K176" s="176">
        <v>44169</v>
      </c>
      <c r="L176" s="176" t="s">
        <v>557</v>
      </c>
      <c r="M176" s="176" t="s">
        <v>383</v>
      </c>
      <c r="N176" s="176" t="s">
        <v>383</v>
      </c>
      <c r="O176" s="176" t="s">
        <v>383</v>
      </c>
      <c r="P176" s="176" t="s">
        <v>383</v>
      </c>
      <c r="Q176" s="472" t="s">
        <v>106</v>
      </c>
      <c r="R176" s="472" t="s">
        <v>558</v>
      </c>
      <c r="S176" s="472">
        <f t="shared" si="125"/>
        <v>25</v>
      </c>
      <c r="T176" s="472">
        <v>26</v>
      </c>
      <c r="U176" s="472">
        <v>25</v>
      </c>
      <c r="V176" s="472">
        <v>0</v>
      </c>
      <c r="W176" s="472" t="s">
        <v>559</v>
      </c>
      <c r="X176" s="472" t="s">
        <v>560</v>
      </c>
      <c r="Y176" s="472"/>
      <c r="Z176" s="472" t="s">
        <v>52</v>
      </c>
      <c r="AA176" s="472" t="s">
        <v>53</v>
      </c>
      <c r="AB176" s="472" t="s">
        <v>52</v>
      </c>
      <c r="AC176" s="472" t="s">
        <v>48</v>
      </c>
      <c r="AD176" s="472" t="s">
        <v>54</v>
      </c>
      <c r="AE176" s="472" t="s">
        <v>54</v>
      </c>
      <c r="AF176" s="472" t="s">
        <v>54</v>
      </c>
      <c r="AG176" s="472" t="s">
        <v>85</v>
      </c>
      <c r="AH176" s="472" t="s">
        <v>86</v>
      </c>
      <c r="AI176" s="472" t="s">
        <v>48</v>
      </c>
      <c r="AJ176" s="472"/>
      <c r="AK176" s="472"/>
      <c r="AL176" s="472" t="s">
        <v>57</v>
      </c>
      <c r="AM176" s="472"/>
      <c r="AN176" s="472"/>
      <c r="AO176" s="472"/>
      <c r="AP176" s="472"/>
      <c r="AQ176" s="472"/>
      <c r="AR176" s="135">
        <f>COUNTIF(B:B,B176)</f>
        <v>1</v>
      </c>
      <c r="AS176" s="135" t="str">
        <f t="shared" si="104"/>
        <v>2020_11_09_a</v>
      </c>
      <c r="AT176" s="136"/>
      <c r="AU176" s="135" t="str">
        <f t="shared" si="105"/>
        <v>2020</v>
      </c>
      <c r="AV176" s="135" t="str">
        <f t="shared" si="106"/>
        <v>11</v>
      </c>
      <c r="AW176" s="135" t="str">
        <f t="shared" si="107"/>
        <v>09</v>
      </c>
      <c r="AX176" s="135">
        <f t="shared" si="108"/>
        <v>44144</v>
      </c>
      <c r="AY176" s="137"/>
      <c r="AZ176" s="138">
        <f t="shared" si="109"/>
        <v>44144</v>
      </c>
      <c r="BA176" s="135" t="b">
        <f t="shared" si="110"/>
        <v>1</v>
      </c>
      <c r="BB176" s="135">
        <f t="shared" si="111"/>
        <v>44144</v>
      </c>
      <c r="BC176" s="135" t="str">
        <f t="shared" si="112"/>
        <v>no</v>
      </c>
      <c r="BD176" s="135" t="b">
        <f t="shared" si="113"/>
        <v>0</v>
      </c>
      <c r="BE176" s="139" t="s">
        <v>59</v>
      </c>
      <c r="BF176" s="136"/>
    </row>
    <row r="177" spans="1:58" s="126" customFormat="1" ht="154">
      <c r="A177" s="127" t="s">
        <v>561</v>
      </c>
      <c r="B177" s="127" t="s">
        <v>562</v>
      </c>
      <c r="C177" s="472"/>
      <c r="D177" s="472">
        <v>10076993</v>
      </c>
      <c r="E177" s="472"/>
      <c r="F177" s="471" t="s">
        <v>555</v>
      </c>
      <c r="G177" s="174" t="s">
        <v>563</v>
      </c>
      <c r="H177" s="175">
        <v>43871</v>
      </c>
      <c r="I177" s="176">
        <v>43882</v>
      </c>
      <c r="J177" s="175">
        <v>44105</v>
      </c>
      <c r="K177" s="176">
        <v>44196</v>
      </c>
      <c r="L177" s="176">
        <v>43885</v>
      </c>
      <c r="M177" s="176" t="s">
        <v>48</v>
      </c>
      <c r="N177" s="176" t="s">
        <v>48</v>
      </c>
      <c r="O177" s="176" t="s">
        <v>48</v>
      </c>
      <c r="P177" s="176" t="s">
        <v>48</v>
      </c>
      <c r="Q177" s="472" t="s">
        <v>49</v>
      </c>
      <c r="R177" s="472" t="s">
        <v>548</v>
      </c>
      <c r="S177" s="472">
        <f t="shared" si="125"/>
        <v>6</v>
      </c>
      <c r="T177" s="472">
        <v>24</v>
      </c>
      <c r="U177" s="472">
        <v>6</v>
      </c>
      <c r="V177" s="472">
        <v>0</v>
      </c>
      <c r="W177" s="472" t="s">
        <v>559</v>
      </c>
      <c r="X177" s="472"/>
      <c r="Y177" s="472"/>
      <c r="Z177" s="472" t="s">
        <v>52</v>
      </c>
      <c r="AA177" s="472" t="s">
        <v>53</v>
      </c>
      <c r="AB177" s="472" t="s">
        <v>52</v>
      </c>
      <c r="AC177" s="472" t="s">
        <v>48</v>
      </c>
      <c r="AD177" s="472" t="s">
        <v>52</v>
      </c>
      <c r="AE177" s="472" t="s">
        <v>54</v>
      </c>
      <c r="AF177" s="472" t="s">
        <v>54</v>
      </c>
      <c r="AG177" s="472" t="s">
        <v>564</v>
      </c>
      <c r="AH177" s="472" t="s">
        <v>56</v>
      </c>
      <c r="AI177" s="472" t="s">
        <v>48</v>
      </c>
      <c r="AJ177" s="472"/>
      <c r="AK177" s="472"/>
      <c r="AL177" s="472" t="s">
        <v>565</v>
      </c>
      <c r="AM177" s="472"/>
      <c r="AN177" s="472" t="s">
        <v>566</v>
      </c>
      <c r="AO177" s="472"/>
      <c r="AP177" s="472"/>
      <c r="AQ177" s="472"/>
      <c r="AR177" s="135">
        <f>COUNTIF(B:B,B177)</f>
        <v>1</v>
      </c>
      <c r="AS177" s="135" t="str">
        <f t="shared" si="104"/>
        <v>2020_02_10_a</v>
      </c>
      <c r="AT177" s="136"/>
      <c r="AU177" s="135" t="str">
        <f t="shared" si="105"/>
        <v>2020</v>
      </c>
      <c r="AV177" s="135" t="str">
        <f t="shared" si="106"/>
        <v>02</v>
      </c>
      <c r="AW177" s="135" t="str">
        <f t="shared" si="107"/>
        <v>10</v>
      </c>
      <c r="AX177" s="135">
        <f t="shared" si="108"/>
        <v>43871</v>
      </c>
      <c r="AY177" s="137"/>
      <c r="AZ177" s="138">
        <f t="shared" si="109"/>
        <v>43871</v>
      </c>
      <c r="BA177" s="135" t="b">
        <f t="shared" si="110"/>
        <v>1</v>
      </c>
      <c r="BB177" s="135">
        <f t="shared" si="111"/>
        <v>43871</v>
      </c>
      <c r="BC177" s="135" t="str">
        <f t="shared" si="112"/>
        <v>no</v>
      </c>
      <c r="BD177" s="135" t="b">
        <f t="shared" si="113"/>
        <v>0</v>
      </c>
      <c r="BE177" s="139" t="s">
        <v>59</v>
      </c>
      <c r="BF177" s="136"/>
    </row>
    <row r="178" spans="1:58" s="149" customFormat="1" ht="154">
      <c r="A178" s="149" t="s">
        <v>567</v>
      </c>
      <c r="B178" s="149" t="s">
        <v>568</v>
      </c>
      <c r="D178" s="149">
        <v>10088602</v>
      </c>
      <c r="E178" s="154" t="s">
        <v>80</v>
      </c>
      <c r="F178" s="154" t="s">
        <v>555</v>
      </c>
      <c r="G178" s="153" t="s">
        <v>569</v>
      </c>
      <c r="H178" s="155">
        <v>44053</v>
      </c>
      <c r="I178" s="156">
        <v>44064</v>
      </c>
      <c r="J178" s="155">
        <f>WORKDAY(H178,10)</f>
        <v>44067</v>
      </c>
      <c r="K178" s="156">
        <v>44078</v>
      </c>
      <c r="L178" s="156" t="s">
        <v>570</v>
      </c>
      <c r="M178" s="156" t="s">
        <v>48</v>
      </c>
      <c r="N178" s="156" t="s">
        <v>48</v>
      </c>
      <c r="O178" s="156"/>
      <c r="P178" s="156"/>
      <c r="Q178" s="149" t="s">
        <v>93</v>
      </c>
      <c r="R178" s="149" t="s">
        <v>571</v>
      </c>
      <c r="S178" s="187">
        <f t="shared" si="125"/>
        <v>25</v>
      </c>
      <c r="T178" s="187">
        <v>25</v>
      </c>
      <c r="U178" s="187">
        <v>25</v>
      </c>
      <c r="V178" s="472">
        <v>0</v>
      </c>
      <c r="W178" s="149" t="s">
        <v>559</v>
      </c>
      <c r="X178" s="136" t="s">
        <v>572</v>
      </c>
      <c r="Y178" s="472" t="s">
        <v>573</v>
      </c>
      <c r="Z178" s="149" t="s">
        <v>52</v>
      </c>
      <c r="AA178" s="149" t="s">
        <v>53</v>
      </c>
      <c r="AB178" s="149" t="s">
        <v>52</v>
      </c>
      <c r="AC178" s="149" t="s">
        <v>52</v>
      </c>
      <c r="AD178" s="149" t="s">
        <v>52</v>
      </c>
      <c r="AE178" s="149" t="s">
        <v>54</v>
      </c>
      <c r="AF178" s="149" t="s">
        <v>54</v>
      </c>
      <c r="AG178" s="472" t="s">
        <v>85</v>
      </c>
      <c r="AH178" s="149" t="s">
        <v>86</v>
      </c>
      <c r="AI178" s="149" t="s">
        <v>48</v>
      </c>
      <c r="AJ178" s="149" t="s">
        <v>532</v>
      </c>
      <c r="AL178" s="149" t="s">
        <v>57</v>
      </c>
      <c r="AR178" s="135">
        <f>COUNTIF(B:B,B178)</f>
        <v>1</v>
      </c>
      <c r="AS178" s="135" t="str">
        <f t="shared" si="104"/>
        <v>2020_08_10_a</v>
      </c>
      <c r="AT178" s="136"/>
      <c r="AU178" s="135" t="str">
        <f t="shared" si="105"/>
        <v>2020</v>
      </c>
      <c r="AV178" s="135" t="str">
        <f t="shared" si="106"/>
        <v>08</v>
      </c>
      <c r="AW178" s="135" t="str">
        <f t="shared" si="107"/>
        <v>10</v>
      </c>
      <c r="AX178" s="135">
        <f t="shared" si="108"/>
        <v>44053</v>
      </c>
      <c r="AY178" s="137"/>
      <c r="AZ178" s="138">
        <f t="shared" si="109"/>
        <v>44053</v>
      </c>
      <c r="BA178" s="135" t="b">
        <f t="shared" si="110"/>
        <v>1</v>
      </c>
      <c r="BB178" s="135">
        <f t="shared" si="111"/>
        <v>44053</v>
      </c>
      <c r="BC178" s="135" t="str">
        <f t="shared" si="112"/>
        <v>no</v>
      </c>
      <c r="BD178" s="135" t="b">
        <f t="shared" si="113"/>
        <v>0</v>
      </c>
      <c r="BE178" s="139" t="s">
        <v>59</v>
      </c>
      <c r="BF178" s="136"/>
    </row>
    <row r="179" spans="1:58" s="126" customFormat="1" ht="154">
      <c r="A179" s="472" t="s">
        <v>574</v>
      </c>
      <c r="B179" s="472" t="s">
        <v>575</v>
      </c>
      <c r="C179" s="472"/>
      <c r="D179" s="472">
        <v>10088049</v>
      </c>
      <c r="E179" s="472"/>
      <c r="F179" s="471" t="s">
        <v>555</v>
      </c>
      <c r="G179" s="174" t="s">
        <v>576</v>
      </c>
      <c r="H179" s="175">
        <v>44081</v>
      </c>
      <c r="I179" s="176">
        <v>44092</v>
      </c>
      <c r="J179" s="175">
        <f>WORKDAY(H179,10)</f>
        <v>44095</v>
      </c>
      <c r="K179" s="176">
        <v>44106</v>
      </c>
      <c r="L179" s="176" t="s">
        <v>577</v>
      </c>
      <c r="M179" s="176" t="s">
        <v>383</v>
      </c>
      <c r="N179" s="176" t="s">
        <v>383</v>
      </c>
      <c r="O179" s="176" t="s">
        <v>383</v>
      </c>
      <c r="P179" s="176" t="s">
        <v>383</v>
      </c>
      <c r="Q179" s="472" t="s">
        <v>93</v>
      </c>
      <c r="R179" s="472" t="s">
        <v>578</v>
      </c>
      <c r="S179" s="472">
        <f t="shared" si="125"/>
        <v>36</v>
      </c>
      <c r="T179" s="472">
        <v>36</v>
      </c>
      <c r="U179" s="472">
        <v>36</v>
      </c>
      <c r="V179" s="472">
        <v>0</v>
      </c>
      <c r="W179" s="472" t="s">
        <v>559</v>
      </c>
      <c r="X179" s="472" t="s">
        <v>579</v>
      </c>
      <c r="Y179" s="472"/>
      <c r="Z179" s="472" t="s">
        <v>52</v>
      </c>
      <c r="AA179" s="472" t="s">
        <v>53</v>
      </c>
      <c r="AB179" s="472" t="s">
        <v>52</v>
      </c>
      <c r="AC179" s="472" t="s">
        <v>48</v>
      </c>
      <c r="AD179" s="472" t="s">
        <v>52</v>
      </c>
      <c r="AE179" s="472" t="s">
        <v>54</v>
      </c>
      <c r="AF179" s="472" t="s">
        <v>54</v>
      </c>
      <c r="AG179" s="472" t="s">
        <v>85</v>
      </c>
      <c r="AH179" s="472" t="s">
        <v>86</v>
      </c>
      <c r="AI179" s="472" t="s">
        <v>48</v>
      </c>
      <c r="AJ179" s="472" t="s">
        <v>532</v>
      </c>
      <c r="AK179" s="472"/>
      <c r="AL179" s="472" t="s">
        <v>57</v>
      </c>
      <c r="AM179" s="472"/>
      <c r="AN179" s="472" t="s">
        <v>580</v>
      </c>
      <c r="AO179" s="472"/>
      <c r="AP179" s="472"/>
      <c r="AQ179" s="472"/>
      <c r="AR179" s="135">
        <f>COUNTIF(B:B,B179)</f>
        <v>1</v>
      </c>
      <c r="AS179" s="135" t="str">
        <f t="shared" si="104"/>
        <v>2020_09_07_a</v>
      </c>
      <c r="AT179" s="136"/>
      <c r="AU179" s="135" t="str">
        <f t="shared" si="105"/>
        <v>2020</v>
      </c>
      <c r="AV179" s="135" t="str">
        <f t="shared" si="106"/>
        <v>09</v>
      </c>
      <c r="AW179" s="135" t="str">
        <f t="shared" si="107"/>
        <v>07</v>
      </c>
      <c r="AX179" s="135">
        <f t="shared" si="108"/>
        <v>44081</v>
      </c>
      <c r="AY179" s="137"/>
      <c r="AZ179" s="138">
        <f t="shared" si="109"/>
        <v>44081</v>
      </c>
      <c r="BA179" s="135" t="b">
        <f t="shared" si="110"/>
        <v>1</v>
      </c>
      <c r="BB179" s="135">
        <f t="shared" si="111"/>
        <v>44081</v>
      </c>
      <c r="BC179" s="135" t="str">
        <f t="shared" si="112"/>
        <v>no</v>
      </c>
      <c r="BD179" s="135" t="b">
        <f t="shared" si="113"/>
        <v>0</v>
      </c>
      <c r="BE179" s="139" t="s">
        <v>59</v>
      </c>
      <c r="BF179" s="136"/>
    </row>
    <row r="180" spans="1:58" s="170" customFormat="1" ht="154">
      <c r="A180" s="485" t="s">
        <v>581</v>
      </c>
      <c r="B180" s="485" t="s">
        <v>582</v>
      </c>
      <c r="C180" s="485"/>
      <c r="D180" s="472">
        <v>10088537</v>
      </c>
      <c r="E180" s="485"/>
      <c r="F180" s="471" t="s">
        <v>555</v>
      </c>
      <c r="G180" s="188" t="s">
        <v>583</v>
      </c>
      <c r="H180" s="175">
        <v>44095</v>
      </c>
      <c r="I180" s="176">
        <v>44106</v>
      </c>
      <c r="J180" s="175">
        <f>WORKDAY(H180,10)</f>
        <v>44109</v>
      </c>
      <c r="K180" s="176">
        <v>44120</v>
      </c>
      <c r="L180" s="176" t="s">
        <v>381</v>
      </c>
      <c r="M180" s="176" t="s">
        <v>383</v>
      </c>
      <c r="N180" s="176" t="s">
        <v>383</v>
      </c>
      <c r="O180" s="176"/>
      <c r="P180" s="176"/>
      <c r="Q180" s="472" t="s">
        <v>93</v>
      </c>
      <c r="R180" s="472" t="s">
        <v>584</v>
      </c>
      <c r="S180" s="471">
        <f t="shared" si="125"/>
        <v>32</v>
      </c>
      <c r="T180" s="471">
        <v>32</v>
      </c>
      <c r="U180" s="471">
        <v>32</v>
      </c>
      <c r="V180" s="472">
        <v>0</v>
      </c>
      <c r="W180" s="472" t="s">
        <v>559</v>
      </c>
      <c r="X180" s="472" t="s">
        <v>560</v>
      </c>
      <c r="Y180" s="472"/>
      <c r="Z180" s="472" t="s">
        <v>52</v>
      </c>
      <c r="AA180" s="472" t="s">
        <v>53</v>
      </c>
      <c r="AB180" s="472" t="s">
        <v>52</v>
      </c>
      <c r="AC180" s="472" t="s">
        <v>48</v>
      </c>
      <c r="AD180" s="472" t="s">
        <v>53</v>
      </c>
      <c r="AE180" s="472" t="s">
        <v>54</v>
      </c>
      <c r="AF180" s="472" t="s">
        <v>54</v>
      </c>
      <c r="AG180" s="472" t="s">
        <v>85</v>
      </c>
      <c r="AH180" s="472" t="s">
        <v>86</v>
      </c>
      <c r="AI180" s="472" t="s">
        <v>48</v>
      </c>
      <c r="AJ180" s="472" t="s">
        <v>532</v>
      </c>
      <c r="AK180" s="472"/>
      <c r="AL180" s="472" t="s">
        <v>57</v>
      </c>
      <c r="AM180" s="472"/>
      <c r="AN180" s="472" t="s">
        <v>585</v>
      </c>
      <c r="AO180" s="82"/>
      <c r="AP180" s="82"/>
      <c r="AR180" s="135">
        <f>COUNTIF(B:B,B180)</f>
        <v>1</v>
      </c>
      <c r="AS180" s="135" t="str">
        <f t="shared" si="104"/>
        <v>2020_09_21_a</v>
      </c>
      <c r="AT180" s="136"/>
      <c r="AU180" s="135" t="str">
        <f t="shared" si="105"/>
        <v>2020</v>
      </c>
      <c r="AV180" s="135" t="str">
        <f t="shared" si="106"/>
        <v>09</v>
      </c>
      <c r="AW180" s="135" t="str">
        <f t="shared" si="107"/>
        <v>21</v>
      </c>
      <c r="AX180" s="135">
        <f t="shared" si="108"/>
        <v>44095</v>
      </c>
      <c r="AY180" s="137"/>
      <c r="AZ180" s="138">
        <f t="shared" si="109"/>
        <v>44095</v>
      </c>
      <c r="BA180" s="135" t="b">
        <f t="shared" si="110"/>
        <v>1</v>
      </c>
      <c r="BB180" s="135">
        <f t="shared" si="111"/>
        <v>44095</v>
      </c>
      <c r="BC180" s="135" t="str">
        <f t="shared" si="112"/>
        <v>no</v>
      </c>
      <c r="BD180" s="135" t="b">
        <f t="shared" si="113"/>
        <v>0</v>
      </c>
      <c r="BE180" s="139" t="s">
        <v>59</v>
      </c>
      <c r="BF180" s="136"/>
    </row>
    <row r="181" spans="1:58" s="126" customFormat="1" ht="154">
      <c r="A181" s="472" t="s">
        <v>586</v>
      </c>
      <c r="B181" s="472" t="s">
        <v>587</v>
      </c>
      <c r="C181" s="472"/>
      <c r="D181" s="472">
        <v>10089059</v>
      </c>
      <c r="E181" s="472"/>
      <c r="F181" s="471" t="s">
        <v>555</v>
      </c>
      <c r="G181" s="174" t="s">
        <v>588</v>
      </c>
      <c r="H181" s="175">
        <v>44116</v>
      </c>
      <c r="I181" s="176">
        <v>44127</v>
      </c>
      <c r="J181" s="175">
        <f>WORKDAY(H181,10)</f>
        <v>44130</v>
      </c>
      <c r="K181" s="176">
        <v>44141</v>
      </c>
      <c r="L181" s="176" t="s">
        <v>589</v>
      </c>
      <c r="M181" s="176" t="s">
        <v>383</v>
      </c>
      <c r="N181" s="176" t="s">
        <v>383</v>
      </c>
      <c r="O181" s="176" t="s">
        <v>383</v>
      </c>
      <c r="P181" s="176" t="s">
        <v>383</v>
      </c>
      <c r="Q181" s="472" t="s">
        <v>106</v>
      </c>
      <c r="R181" s="472" t="s">
        <v>590</v>
      </c>
      <c r="S181" s="472">
        <f t="shared" si="125"/>
        <v>56</v>
      </c>
      <c r="T181" s="472">
        <v>56</v>
      </c>
      <c r="U181" s="472">
        <v>56</v>
      </c>
      <c r="V181" s="472">
        <v>0</v>
      </c>
      <c r="W181" s="472" t="s">
        <v>559</v>
      </c>
      <c r="X181" s="472" t="s">
        <v>591</v>
      </c>
      <c r="Y181" s="472"/>
      <c r="Z181" s="472" t="s">
        <v>52</v>
      </c>
      <c r="AA181" s="472" t="s">
        <v>53</v>
      </c>
      <c r="AB181" s="472" t="s">
        <v>52</v>
      </c>
      <c r="AC181" s="472" t="s">
        <v>48</v>
      </c>
      <c r="AD181" s="472" t="s">
        <v>54</v>
      </c>
      <c r="AE181" s="472" t="s">
        <v>54</v>
      </c>
      <c r="AF181" s="472" t="s">
        <v>54</v>
      </c>
      <c r="AG181" s="472" t="s">
        <v>85</v>
      </c>
      <c r="AH181" s="472" t="s">
        <v>86</v>
      </c>
      <c r="AI181" s="472" t="s">
        <v>48</v>
      </c>
      <c r="AJ181" s="472" t="s">
        <v>532</v>
      </c>
      <c r="AK181" s="472"/>
      <c r="AL181" s="472" t="s">
        <v>57</v>
      </c>
      <c r="AM181" s="472"/>
      <c r="AN181" s="472"/>
      <c r="AO181" s="472"/>
      <c r="AP181" s="472"/>
      <c r="AQ181" s="472"/>
      <c r="AR181" s="135">
        <f>COUNTIF(B:B,B181)</f>
        <v>1</v>
      </c>
      <c r="AS181" s="135" t="str">
        <f t="shared" si="104"/>
        <v>2020_10_12_a</v>
      </c>
      <c r="AT181" s="136"/>
      <c r="AU181" s="135" t="str">
        <f t="shared" si="105"/>
        <v>2020</v>
      </c>
      <c r="AV181" s="135" t="str">
        <f t="shared" si="106"/>
        <v>10</v>
      </c>
      <c r="AW181" s="135" t="str">
        <f t="shared" si="107"/>
        <v>12</v>
      </c>
      <c r="AX181" s="135">
        <f t="shared" si="108"/>
        <v>44116</v>
      </c>
      <c r="AY181" s="137"/>
      <c r="AZ181" s="138">
        <f t="shared" si="109"/>
        <v>44116</v>
      </c>
      <c r="BA181" s="135" t="b">
        <f t="shared" si="110"/>
        <v>1</v>
      </c>
      <c r="BB181" s="135">
        <f t="shared" si="111"/>
        <v>44116</v>
      </c>
      <c r="BC181" s="135" t="str">
        <f t="shared" si="112"/>
        <v>no</v>
      </c>
      <c r="BD181" s="135" t="b">
        <f t="shared" si="113"/>
        <v>0</v>
      </c>
      <c r="BE181" s="139" t="s">
        <v>59</v>
      </c>
      <c r="BF181" s="136"/>
    </row>
    <row r="182" spans="1:58" s="126" customFormat="1" ht="154">
      <c r="A182" s="472"/>
      <c r="B182" s="472" t="s">
        <v>592</v>
      </c>
      <c r="C182" s="472"/>
      <c r="D182" s="81">
        <v>10098251</v>
      </c>
      <c r="E182" s="472"/>
      <c r="F182" s="471" t="s">
        <v>555</v>
      </c>
      <c r="G182" s="174" t="s">
        <v>463</v>
      </c>
      <c r="H182" s="175">
        <v>44263</v>
      </c>
      <c r="I182" s="176">
        <v>44274</v>
      </c>
      <c r="J182" s="175">
        <v>44277</v>
      </c>
      <c r="K182" s="176">
        <v>44288</v>
      </c>
      <c r="L182" s="176">
        <v>44291</v>
      </c>
      <c r="M182" s="176" t="s">
        <v>383</v>
      </c>
      <c r="N182" s="176" t="s">
        <v>383</v>
      </c>
      <c r="O182" s="176" t="s">
        <v>383</v>
      </c>
      <c r="P182" s="176" t="s">
        <v>383</v>
      </c>
      <c r="Q182" s="472" t="s">
        <v>49</v>
      </c>
      <c r="R182" s="472" t="s">
        <v>463</v>
      </c>
      <c r="S182" s="472">
        <f t="shared" ref="S182:S216" si="126">U182+V182</f>
        <v>15</v>
      </c>
      <c r="T182" s="472">
        <v>25</v>
      </c>
      <c r="U182" s="81">
        <v>15</v>
      </c>
      <c r="V182" s="472">
        <v>0</v>
      </c>
      <c r="W182" s="472" t="s">
        <v>559</v>
      </c>
      <c r="X182" s="472" t="s">
        <v>522</v>
      </c>
      <c r="Y182" s="472"/>
      <c r="Z182" s="472" t="s">
        <v>54</v>
      </c>
      <c r="AA182" s="472" t="s">
        <v>54</v>
      </c>
      <c r="AB182" s="472" t="s">
        <v>54</v>
      </c>
      <c r="AC182" s="472" t="s">
        <v>48</v>
      </c>
      <c r="AD182" s="472" t="s">
        <v>54</v>
      </c>
      <c r="AE182" s="472" t="s">
        <v>54</v>
      </c>
      <c r="AF182" s="472" t="s">
        <v>54</v>
      </c>
      <c r="AG182" s="472" t="s">
        <v>85</v>
      </c>
      <c r="AH182" s="472" t="s">
        <v>86</v>
      </c>
      <c r="AI182" s="472" t="s">
        <v>48</v>
      </c>
      <c r="AJ182" s="472" t="s">
        <v>529</v>
      </c>
      <c r="AK182" s="472"/>
      <c r="AL182" s="472" t="s">
        <v>57</v>
      </c>
      <c r="AM182" s="472"/>
      <c r="AN182" s="472"/>
      <c r="AO182" s="472"/>
      <c r="AP182" s="472"/>
      <c r="AQ182" s="472"/>
      <c r="AR182" s="135">
        <f>COUNTIF(B:B,B182)</f>
        <v>1</v>
      </c>
      <c r="AS182" s="135" t="str">
        <f t="shared" si="104"/>
        <v>2021_03_08_a</v>
      </c>
      <c r="AT182" s="136"/>
      <c r="AU182" s="135" t="str">
        <f t="shared" si="105"/>
        <v>2021</v>
      </c>
      <c r="AV182" s="135" t="str">
        <f t="shared" si="106"/>
        <v>03</v>
      </c>
      <c r="AW182" s="135" t="str">
        <f t="shared" si="107"/>
        <v>08</v>
      </c>
      <c r="AX182" s="135">
        <f t="shared" si="108"/>
        <v>44263</v>
      </c>
      <c r="AY182" s="137"/>
      <c r="AZ182" s="138">
        <f t="shared" si="109"/>
        <v>44263</v>
      </c>
      <c r="BA182" s="135" t="b">
        <f t="shared" si="110"/>
        <v>1</v>
      </c>
      <c r="BB182" s="135">
        <f t="shared" si="111"/>
        <v>44263</v>
      </c>
      <c r="BC182" s="135" t="str">
        <f t="shared" si="112"/>
        <v>no</v>
      </c>
      <c r="BD182" s="135" t="b">
        <f t="shared" si="113"/>
        <v>0</v>
      </c>
      <c r="BE182" s="139" t="s">
        <v>59</v>
      </c>
      <c r="BF182" s="136"/>
    </row>
    <row r="183" spans="1:58" s="126" customFormat="1" ht="154">
      <c r="A183" s="472"/>
      <c r="B183" s="472" t="s">
        <v>593</v>
      </c>
      <c r="C183" s="472"/>
      <c r="D183" s="81">
        <v>10096514</v>
      </c>
      <c r="E183" s="472"/>
      <c r="F183" s="471" t="s">
        <v>555</v>
      </c>
      <c r="G183" s="174" t="s">
        <v>463</v>
      </c>
      <c r="H183" s="175">
        <v>44235</v>
      </c>
      <c r="I183" s="176">
        <v>44246</v>
      </c>
      <c r="J183" s="175">
        <v>44249</v>
      </c>
      <c r="K183" s="176">
        <v>44260</v>
      </c>
      <c r="L183" s="176">
        <v>44263</v>
      </c>
      <c r="M183" s="176" t="s">
        <v>383</v>
      </c>
      <c r="N183" s="176" t="s">
        <v>383</v>
      </c>
      <c r="O183" s="176" t="s">
        <v>383</v>
      </c>
      <c r="P183" s="176" t="s">
        <v>383</v>
      </c>
      <c r="Q183" s="472" t="s">
        <v>49</v>
      </c>
      <c r="R183" s="472" t="s">
        <v>463</v>
      </c>
      <c r="S183" s="81">
        <f>U183+V183</f>
        <v>21</v>
      </c>
      <c r="T183" s="81">
        <v>21</v>
      </c>
      <c r="U183" s="81">
        <v>21</v>
      </c>
      <c r="V183" s="472">
        <v>0</v>
      </c>
      <c r="W183" s="472" t="s">
        <v>559</v>
      </c>
      <c r="X183" s="472" t="s">
        <v>522</v>
      </c>
      <c r="Y183" s="472"/>
      <c r="Z183" s="472" t="s">
        <v>54</v>
      </c>
      <c r="AA183" s="472" t="s">
        <v>54</v>
      </c>
      <c r="AB183" s="472" t="s">
        <v>54</v>
      </c>
      <c r="AC183" s="472" t="s">
        <v>48</v>
      </c>
      <c r="AD183" s="472" t="s">
        <v>54</v>
      </c>
      <c r="AE183" s="472" t="s">
        <v>54</v>
      </c>
      <c r="AF183" s="472" t="s">
        <v>54</v>
      </c>
      <c r="AG183" s="472" t="s">
        <v>85</v>
      </c>
      <c r="AH183" s="472" t="s">
        <v>86</v>
      </c>
      <c r="AI183" s="472" t="s">
        <v>48</v>
      </c>
      <c r="AJ183" s="472" t="s">
        <v>529</v>
      </c>
      <c r="AK183" s="472"/>
      <c r="AL183" s="472" t="s">
        <v>57</v>
      </c>
      <c r="AM183" s="472"/>
      <c r="AN183" s="472"/>
      <c r="AO183" s="472"/>
      <c r="AP183" s="472"/>
      <c r="AQ183" s="472"/>
      <c r="AR183" s="135">
        <f>COUNTIF(B:B,B183)</f>
        <v>1</v>
      </c>
      <c r="AS183" s="135" t="str">
        <f t="shared" si="104"/>
        <v>2021_02_08_a</v>
      </c>
      <c r="AT183" s="136"/>
      <c r="AU183" s="135" t="str">
        <f t="shared" si="105"/>
        <v>2021</v>
      </c>
      <c r="AV183" s="135" t="str">
        <f t="shared" si="106"/>
        <v>02</v>
      </c>
      <c r="AW183" s="135" t="str">
        <f t="shared" si="107"/>
        <v>08</v>
      </c>
      <c r="AX183" s="135">
        <f t="shared" si="108"/>
        <v>44235</v>
      </c>
      <c r="AY183" s="137"/>
      <c r="AZ183" s="138">
        <f t="shared" si="109"/>
        <v>44235</v>
      </c>
      <c r="BA183" s="135" t="b">
        <f t="shared" si="110"/>
        <v>1</v>
      </c>
      <c r="BB183" s="135">
        <f t="shared" si="111"/>
        <v>44235</v>
      </c>
      <c r="BC183" s="135" t="str">
        <f t="shared" si="112"/>
        <v>no</v>
      </c>
      <c r="BD183" s="135" t="b">
        <f t="shared" si="113"/>
        <v>0</v>
      </c>
      <c r="BE183" s="139" t="s">
        <v>59</v>
      </c>
      <c r="BF183" s="136"/>
    </row>
    <row r="184" spans="1:58" s="126" customFormat="1" ht="154">
      <c r="A184" s="472"/>
      <c r="B184" s="472" t="s">
        <v>594</v>
      </c>
      <c r="C184" s="472"/>
      <c r="D184" s="81">
        <v>10099655</v>
      </c>
      <c r="E184" s="472"/>
      <c r="F184" s="471" t="s">
        <v>555</v>
      </c>
      <c r="G184" s="174" t="s">
        <v>463</v>
      </c>
      <c r="H184" s="175">
        <v>44298</v>
      </c>
      <c r="I184" s="176">
        <v>44309</v>
      </c>
      <c r="J184" s="175">
        <v>44312</v>
      </c>
      <c r="K184" s="176">
        <v>44323</v>
      </c>
      <c r="L184" s="176">
        <v>44326</v>
      </c>
      <c r="M184" s="176" t="s">
        <v>383</v>
      </c>
      <c r="N184" s="176" t="s">
        <v>383</v>
      </c>
      <c r="O184" s="176" t="s">
        <v>383</v>
      </c>
      <c r="P184" s="176" t="s">
        <v>383</v>
      </c>
      <c r="Q184" s="472" t="s">
        <v>82</v>
      </c>
      <c r="R184" s="472" t="s">
        <v>463</v>
      </c>
      <c r="S184" s="81">
        <f t="shared" si="126"/>
        <v>23</v>
      </c>
      <c r="T184" s="81">
        <v>23</v>
      </c>
      <c r="U184" s="81">
        <v>23</v>
      </c>
      <c r="V184" s="472">
        <v>0</v>
      </c>
      <c r="W184" s="472" t="s">
        <v>559</v>
      </c>
      <c r="X184" s="472" t="s">
        <v>522</v>
      </c>
      <c r="Y184" s="472"/>
      <c r="Z184" s="472" t="s">
        <v>54</v>
      </c>
      <c r="AA184" s="472" t="s">
        <v>54</v>
      </c>
      <c r="AB184" s="472" t="s">
        <v>54</v>
      </c>
      <c r="AC184" s="472" t="s">
        <v>48</v>
      </c>
      <c r="AD184" s="472" t="s">
        <v>54</v>
      </c>
      <c r="AE184" s="472" t="s">
        <v>54</v>
      </c>
      <c r="AF184" s="472" t="s">
        <v>54</v>
      </c>
      <c r="AG184" s="472" t="s">
        <v>85</v>
      </c>
      <c r="AH184" s="472" t="s">
        <v>86</v>
      </c>
      <c r="AI184" s="472" t="s">
        <v>48</v>
      </c>
      <c r="AJ184" s="472" t="s">
        <v>529</v>
      </c>
      <c r="AK184" s="472"/>
      <c r="AL184" s="472" t="s">
        <v>57</v>
      </c>
      <c r="AM184" s="472"/>
      <c r="AN184" s="472"/>
      <c r="AO184" s="472"/>
      <c r="AP184" s="472"/>
      <c r="AQ184" s="472"/>
      <c r="AR184" s="135">
        <f>COUNTIF(B:B,B184)</f>
        <v>1</v>
      </c>
      <c r="AS184" s="135" t="str">
        <f t="shared" si="104"/>
        <v>2021_04_12_a</v>
      </c>
      <c r="AT184" s="136"/>
      <c r="AU184" s="135" t="str">
        <f t="shared" si="105"/>
        <v>2021</v>
      </c>
      <c r="AV184" s="135" t="str">
        <f t="shared" si="106"/>
        <v>04</v>
      </c>
      <c r="AW184" s="135" t="str">
        <f t="shared" si="107"/>
        <v>12</v>
      </c>
      <c r="AX184" s="135">
        <f t="shared" si="108"/>
        <v>44298</v>
      </c>
      <c r="AY184" s="137"/>
      <c r="AZ184" s="138">
        <f t="shared" si="109"/>
        <v>44298</v>
      </c>
      <c r="BA184" s="135" t="b">
        <f t="shared" si="110"/>
        <v>1</v>
      </c>
      <c r="BB184" s="135">
        <f t="shared" si="111"/>
        <v>44298</v>
      </c>
      <c r="BC184" s="135" t="str">
        <f t="shared" si="112"/>
        <v>no</v>
      </c>
      <c r="BD184" s="135" t="b">
        <f t="shared" si="113"/>
        <v>0</v>
      </c>
      <c r="BE184" s="139" t="s">
        <v>59</v>
      </c>
      <c r="BF184" s="136"/>
    </row>
    <row r="185" spans="1:58" s="126" customFormat="1" ht="154">
      <c r="A185" s="472"/>
      <c r="B185" s="472" t="s">
        <v>595</v>
      </c>
      <c r="C185" s="472"/>
      <c r="D185" s="81">
        <v>10101664</v>
      </c>
      <c r="E185" s="472"/>
      <c r="F185" s="471" t="s">
        <v>555</v>
      </c>
      <c r="G185" s="174" t="s">
        <v>463</v>
      </c>
      <c r="H185" s="175">
        <v>44354</v>
      </c>
      <c r="I185" s="176">
        <v>44365</v>
      </c>
      <c r="J185" s="175">
        <v>44368</v>
      </c>
      <c r="K185" s="176">
        <v>44379</v>
      </c>
      <c r="L185" s="176">
        <v>44382</v>
      </c>
      <c r="M185" s="176" t="s">
        <v>383</v>
      </c>
      <c r="N185" s="176" t="s">
        <v>383</v>
      </c>
      <c r="O185" s="176" t="s">
        <v>383</v>
      </c>
      <c r="P185" s="176" t="s">
        <v>383</v>
      </c>
      <c r="Q185" s="472" t="s">
        <v>82</v>
      </c>
      <c r="R185" s="472" t="s">
        <v>463</v>
      </c>
      <c r="S185" s="472">
        <f t="shared" si="126"/>
        <v>25</v>
      </c>
      <c r="T185" s="472">
        <v>25</v>
      </c>
      <c r="U185" s="472">
        <v>25</v>
      </c>
      <c r="V185" s="472">
        <v>0</v>
      </c>
      <c r="W185" s="472" t="s">
        <v>559</v>
      </c>
      <c r="X185" s="472" t="s">
        <v>522</v>
      </c>
      <c r="Y185" s="472"/>
      <c r="Z185" s="472" t="s">
        <v>54</v>
      </c>
      <c r="AA185" s="472" t="s">
        <v>54</v>
      </c>
      <c r="AB185" s="472" t="s">
        <v>54</v>
      </c>
      <c r="AC185" s="472" t="s">
        <v>48</v>
      </c>
      <c r="AD185" s="472" t="s">
        <v>54</v>
      </c>
      <c r="AE185" s="472" t="s">
        <v>54</v>
      </c>
      <c r="AF185" s="472" t="s">
        <v>54</v>
      </c>
      <c r="AG185" s="472" t="s">
        <v>85</v>
      </c>
      <c r="AH185" s="472" t="s">
        <v>86</v>
      </c>
      <c r="AI185" s="472" t="s">
        <v>48</v>
      </c>
      <c r="AJ185" s="472" t="s">
        <v>529</v>
      </c>
      <c r="AK185" s="472"/>
      <c r="AL185" s="472" t="s">
        <v>57</v>
      </c>
      <c r="AM185" s="472"/>
      <c r="AN185" s="472"/>
      <c r="AO185" s="472"/>
      <c r="AP185" s="472"/>
      <c r="AQ185" s="472"/>
      <c r="AR185" s="135">
        <f>COUNTIF(B:B,B185)</f>
        <v>1</v>
      </c>
      <c r="AS185" s="135" t="str">
        <f t="shared" si="104"/>
        <v>2021_06_07_a</v>
      </c>
      <c r="AT185" s="136"/>
      <c r="AU185" s="135" t="str">
        <f t="shared" si="105"/>
        <v>2021</v>
      </c>
      <c r="AV185" s="135" t="str">
        <f t="shared" si="106"/>
        <v>06</v>
      </c>
      <c r="AW185" s="135" t="str">
        <f t="shared" si="107"/>
        <v>07</v>
      </c>
      <c r="AX185" s="135">
        <f t="shared" si="108"/>
        <v>44354</v>
      </c>
      <c r="AY185" s="137"/>
      <c r="AZ185" s="138">
        <f t="shared" si="109"/>
        <v>44354</v>
      </c>
      <c r="BA185" s="135" t="b">
        <f t="shared" si="110"/>
        <v>1</v>
      </c>
      <c r="BB185" s="135">
        <f t="shared" si="111"/>
        <v>44354</v>
      </c>
      <c r="BC185" s="135" t="str">
        <f t="shared" si="112"/>
        <v>no</v>
      </c>
      <c r="BD185" s="135" t="b">
        <f t="shared" si="113"/>
        <v>0</v>
      </c>
      <c r="BE185" s="139" t="s">
        <v>59</v>
      </c>
      <c r="BF185" s="136"/>
    </row>
    <row r="186" spans="1:58" s="126" customFormat="1" ht="154">
      <c r="A186" s="472"/>
      <c r="B186" s="472" t="s">
        <v>596</v>
      </c>
      <c r="C186" s="472"/>
      <c r="D186" s="81">
        <v>10102803</v>
      </c>
      <c r="E186" s="472"/>
      <c r="F186" s="471" t="s">
        <v>555</v>
      </c>
      <c r="G186" s="174" t="s">
        <v>463</v>
      </c>
      <c r="H186" s="175">
        <v>44382</v>
      </c>
      <c r="I186" s="176">
        <v>44393</v>
      </c>
      <c r="J186" s="175">
        <v>44396</v>
      </c>
      <c r="K186" s="176">
        <v>44407</v>
      </c>
      <c r="L186" s="176">
        <v>44410</v>
      </c>
      <c r="M186" s="176" t="s">
        <v>383</v>
      </c>
      <c r="N186" s="176" t="s">
        <v>383</v>
      </c>
      <c r="O186" s="176" t="s">
        <v>383</v>
      </c>
      <c r="P186" s="176" t="s">
        <v>383</v>
      </c>
      <c r="Q186" s="472" t="s">
        <v>93</v>
      </c>
      <c r="R186" s="472" t="s">
        <v>463</v>
      </c>
      <c r="S186" s="472">
        <f t="shared" si="126"/>
        <v>25</v>
      </c>
      <c r="T186" s="472">
        <v>25</v>
      </c>
      <c r="U186" s="472">
        <v>25</v>
      </c>
      <c r="V186" s="472">
        <v>0</v>
      </c>
      <c r="W186" s="472" t="s">
        <v>559</v>
      </c>
      <c r="X186" s="472" t="s">
        <v>522</v>
      </c>
      <c r="Y186" s="472"/>
      <c r="Z186" s="472" t="s">
        <v>54</v>
      </c>
      <c r="AA186" s="472" t="s">
        <v>54</v>
      </c>
      <c r="AB186" s="472" t="s">
        <v>54</v>
      </c>
      <c r="AC186" s="472" t="s">
        <v>48</v>
      </c>
      <c r="AD186" s="472" t="s">
        <v>54</v>
      </c>
      <c r="AE186" s="472" t="s">
        <v>54</v>
      </c>
      <c r="AF186" s="472" t="s">
        <v>54</v>
      </c>
      <c r="AG186" s="472" t="s">
        <v>85</v>
      </c>
      <c r="AH186" s="472" t="s">
        <v>86</v>
      </c>
      <c r="AI186" s="472" t="s">
        <v>48</v>
      </c>
      <c r="AJ186" s="472" t="s">
        <v>529</v>
      </c>
      <c r="AK186" s="472"/>
      <c r="AL186" s="472" t="s">
        <v>57</v>
      </c>
      <c r="AM186" s="472"/>
      <c r="AN186" s="472"/>
      <c r="AO186" s="472"/>
      <c r="AP186" s="472"/>
      <c r="AQ186" s="472"/>
      <c r="AR186" s="135">
        <f>COUNTIF(B:B,B186)</f>
        <v>1</v>
      </c>
      <c r="AS186" s="135" t="str">
        <f t="shared" si="104"/>
        <v>2021_07_05_a</v>
      </c>
      <c r="AT186" s="136"/>
      <c r="AU186" s="135" t="str">
        <f t="shared" si="105"/>
        <v>2021</v>
      </c>
      <c r="AV186" s="135" t="str">
        <f t="shared" si="106"/>
        <v>07</v>
      </c>
      <c r="AW186" s="135" t="str">
        <f t="shared" si="107"/>
        <v>05</v>
      </c>
      <c r="AX186" s="135">
        <f t="shared" si="108"/>
        <v>44382</v>
      </c>
      <c r="AY186" s="137"/>
      <c r="AZ186" s="138">
        <f t="shared" si="109"/>
        <v>44382</v>
      </c>
      <c r="BA186" s="135" t="b">
        <f t="shared" si="110"/>
        <v>1</v>
      </c>
      <c r="BB186" s="135">
        <f t="shared" si="111"/>
        <v>44382</v>
      </c>
      <c r="BC186" s="135" t="str">
        <f t="shared" si="112"/>
        <v>no</v>
      </c>
      <c r="BD186" s="135" t="b">
        <f t="shared" si="113"/>
        <v>0</v>
      </c>
      <c r="BE186" s="139" t="s">
        <v>59</v>
      </c>
      <c r="BF186" s="136"/>
    </row>
    <row r="187" spans="1:58" s="126" customFormat="1" ht="154">
      <c r="A187" s="472"/>
      <c r="B187" s="81" t="s">
        <v>597</v>
      </c>
      <c r="C187" s="81"/>
      <c r="D187" s="81">
        <v>10104775</v>
      </c>
      <c r="E187" s="81"/>
      <c r="F187" s="487" t="s">
        <v>555</v>
      </c>
      <c r="G187" s="179" t="s">
        <v>463</v>
      </c>
      <c r="H187" s="167">
        <v>44403</v>
      </c>
      <c r="I187" s="180" t="s">
        <v>407</v>
      </c>
      <c r="J187" s="167">
        <v>44417</v>
      </c>
      <c r="K187" s="180"/>
      <c r="L187" s="180"/>
      <c r="M187" s="180" t="s">
        <v>383</v>
      </c>
      <c r="N187" s="180" t="s">
        <v>383</v>
      </c>
      <c r="O187" s="180" t="s">
        <v>383</v>
      </c>
      <c r="P187" s="180" t="s">
        <v>383</v>
      </c>
      <c r="Q187" s="81" t="s">
        <v>93</v>
      </c>
      <c r="R187" s="81" t="s">
        <v>598</v>
      </c>
      <c r="S187" s="472">
        <f t="shared" si="126"/>
        <v>30</v>
      </c>
      <c r="T187" s="81">
        <v>30</v>
      </c>
      <c r="U187" s="81">
        <v>30</v>
      </c>
      <c r="V187" s="81">
        <v>0</v>
      </c>
      <c r="W187" s="81" t="s">
        <v>599</v>
      </c>
      <c r="X187" s="81" t="s">
        <v>522</v>
      </c>
      <c r="Y187" s="81"/>
      <c r="Z187" s="81" t="s">
        <v>54</v>
      </c>
      <c r="AA187" s="81" t="s">
        <v>54</v>
      </c>
      <c r="AB187" s="81" t="s">
        <v>54</v>
      </c>
      <c r="AC187" s="81" t="s">
        <v>48</v>
      </c>
      <c r="AD187" s="81" t="s">
        <v>54</v>
      </c>
      <c r="AE187" s="81" t="s">
        <v>54</v>
      </c>
      <c r="AF187" s="81" t="s">
        <v>54</v>
      </c>
      <c r="AG187" s="81" t="s">
        <v>85</v>
      </c>
      <c r="AH187" s="81" t="s">
        <v>529</v>
      </c>
      <c r="AI187" s="81" t="s">
        <v>511</v>
      </c>
      <c r="AJ187" s="81" t="s">
        <v>529</v>
      </c>
      <c r="AK187" s="81"/>
      <c r="AL187" s="81" t="s">
        <v>57</v>
      </c>
      <c r="AM187" s="472"/>
      <c r="AN187" s="472"/>
      <c r="AO187" s="472"/>
      <c r="AP187" s="472"/>
      <c r="AQ187" s="472"/>
      <c r="AR187" s="135">
        <f>COUNTIF(B:B,B187)</f>
        <v>1</v>
      </c>
      <c r="AS187" s="135" t="str">
        <f t="shared" si="104"/>
        <v>2021_07_26_a</v>
      </c>
      <c r="AT187" s="136"/>
      <c r="AU187" s="135" t="str">
        <f t="shared" si="105"/>
        <v>2021</v>
      </c>
      <c r="AV187" s="135" t="str">
        <f t="shared" si="106"/>
        <v>07</v>
      </c>
      <c r="AW187" s="135" t="str">
        <f t="shared" si="107"/>
        <v>26</v>
      </c>
      <c r="AX187" s="135">
        <f t="shared" si="108"/>
        <v>44403</v>
      </c>
      <c r="AY187" s="137"/>
      <c r="AZ187" s="138">
        <f t="shared" si="109"/>
        <v>44403</v>
      </c>
      <c r="BA187" s="135" t="b">
        <f t="shared" si="110"/>
        <v>1</v>
      </c>
      <c r="BB187" s="135">
        <f t="shared" si="111"/>
        <v>44403</v>
      </c>
      <c r="BC187" s="135" t="str">
        <f t="shared" si="112"/>
        <v>no</v>
      </c>
      <c r="BD187" s="135" t="b">
        <f t="shared" si="113"/>
        <v>0</v>
      </c>
      <c r="BE187" s="139" t="s">
        <v>59</v>
      </c>
      <c r="BF187" s="136"/>
    </row>
    <row r="188" spans="1:58" s="126" customFormat="1" ht="154">
      <c r="A188" s="472"/>
      <c r="B188" s="472" t="s">
        <v>600</v>
      </c>
      <c r="C188" s="472"/>
      <c r="D188" s="81">
        <v>10104776</v>
      </c>
      <c r="E188" s="472"/>
      <c r="F188" s="471" t="s">
        <v>555</v>
      </c>
      <c r="G188" s="174" t="s">
        <v>463</v>
      </c>
      <c r="H188" s="175">
        <v>44417</v>
      </c>
      <c r="I188" s="176">
        <v>44428</v>
      </c>
      <c r="J188" s="175">
        <v>44431</v>
      </c>
      <c r="K188" s="176">
        <v>44442</v>
      </c>
      <c r="L188" s="176">
        <v>44445</v>
      </c>
      <c r="M188" s="176" t="s">
        <v>383</v>
      </c>
      <c r="N188" s="176" t="s">
        <v>383</v>
      </c>
      <c r="O188" s="176" t="s">
        <v>383</v>
      </c>
      <c r="P188" s="176" t="s">
        <v>383</v>
      </c>
      <c r="Q188" s="472" t="s">
        <v>93</v>
      </c>
      <c r="R188" s="472" t="s">
        <v>463</v>
      </c>
      <c r="S188" s="472">
        <f t="shared" si="126"/>
        <v>28</v>
      </c>
      <c r="T188" s="81">
        <v>28</v>
      </c>
      <c r="U188" s="81">
        <v>28</v>
      </c>
      <c r="V188" s="472">
        <v>0</v>
      </c>
      <c r="W188" s="472" t="s">
        <v>559</v>
      </c>
      <c r="X188" s="472" t="s">
        <v>522</v>
      </c>
      <c r="Y188" s="472"/>
      <c r="Z188" s="472" t="s">
        <v>54</v>
      </c>
      <c r="AA188" s="472" t="s">
        <v>54</v>
      </c>
      <c r="AB188" s="472" t="s">
        <v>54</v>
      </c>
      <c r="AC188" s="472" t="s">
        <v>48</v>
      </c>
      <c r="AD188" s="472" t="s">
        <v>54</v>
      </c>
      <c r="AE188" s="472" t="s">
        <v>54</v>
      </c>
      <c r="AF188" s="472" t="s">
        <v>54</v>
      </c>
      <c r="AG188" s="472" t="s">
        <v>85</v>
      </c>
      <c r="AH188" s="472" t="s">
        <v>86</v>
      </c>
      <c r="AI188" s="472" t="s">
        <v>48</v>
      </c>
      <c r="AJ188" s="472" t="s">
        <v>529</v>
      </c>
      <c r="AK188" s="472"/>
      <c r="AL188" s="472" t="s">
        <v>57</v>
      </c>
      <c r="AM188" s="472"/>
      <c r="AN188" s="472"/>
      <c r="AO188" s="472"/>
      <c r="AP188" s="472"/>
      <c r="AQ188" s="472"/>
      <c r="AR188" s="135">
        <f>COUNTIF(B:B,B188)</f>
        <v>1</v>
      </c>
      <c r="AS188" s="135" t="str">
        <f t="shared" si="104"/>
        <v>2021_08_09_a</v>
      </c>
      <c r="AT188" s="136"/>
      <c r="AU188" s="135" t="str">
        <f t="shared" si="105"/>
        <v>2021</v>
      </c>
      <c r="AV188" s="135" t="str">
        <f t="shared" si="106"/>
        <v>08</v>
      </c>
      <c r="AW188" s="135" t="str">
        <f t="shared" si="107"/>
        <v>09</v>
      </c>
      <c r="AX188" s="135">
        <f t="shared" si="108"/>
        <v>44417</v>
      </c>
      <c r="AY188" s="137"/>
      <c r="AZ188" s="138">
        <f t="shared" si="109"/>
        <v>44417</v>
      </c>
      <c r="BA188" s="135" t="b">
        <f t="shared" si="110"/>
        <v>1</v>
      </c>
      <c r="BB188" s="135">
        <f t="shared" si="111"/>
        <v>44417</v>
      </c>
      <c r="BC188" s="135" t="str">
        <f t="shared" si="112"/>
        <v>no</v>
      </c>
      <c r="BD188" s="135" t="b">
        <f t="shared" si="113"/>
        <v>0</v>
      </c>
      <c r="BE188" s="139" t="s">
        <v>59</v>
      </c>
      <c r="BF188" s="136"/>
    </row>
    <row r="189" spans="1:58" s="126" customFormat="1" ht="154">
      <c r="A189" s="472"/>
      <c r="B189" s="472" t="s">
        <v>601</v>
      </c>
      <c r="C189" s="472"/>
      <c r="D189" s="81">
        <v>10105566</v>
      </c>
      <c r="E189" s="472"/>
      <c r="F189" s="471" t="s">
        <v>555</v>
      </c>
      <c r="G189" s="174" t="s">
        <v>463</v>
      </c>
      <c r="H189" s="175">
        <v>44445</v>
      </c>
      <c r="I189" s="176">
        <v>44456</v>
      </c>
      <c r="J189" s="175">
        <v>44459</v>
      </c>
      <c r="K189" s="176">
        <v>44470</v>
      </c>
      <c r="L189" s="176">
        <v>44473</v>
      </c>
      <c r="M189" s="176" t="s">
        <v>383</v>
      </c>
      <c r="N189" s="176" t="s">
        <v>383</v>
      </c>
      <c r="O189" s="176" t="s">
        <v>383</v>
      </c>
      <c r="P189" s="176" t="s">
        <v>383</v>
      </c>
      <c r="Q189" s="472" t="s">
        <v>93</v>
      </c>
      <c r="R189" s="472" t="s">
        <v>463</v>
      </c>
      <c r="S189" s="472">
        <f t="shared" si="126"/>
        <v>27</v>
      </c>
      <c r="T189" s="189">
        <v>27</v>
      </c>
      <c r="U189" s="189">
        <v>27</v>
      </c>
      <c r="V189" s="472">
        <v>0</v>
      </c>
      <c r="W189" s="472" t="s">
        <v>559</v>
      </c>
      <c r="X189" s="472" t="s">
        <v>522</v>
      </c>
      <c r="Y189" s="472"/>
      <c r="Z189" s="472" t="s">
        <v>54</v>
      </c>
      <c r="AA189" s="472" t="s">
        <v>54</v>
      </c>
      <c r="AB189" s="472" t="s">
        <v>54</v>
      </c>
      <c r="AC189" s="472" t="s">
        <v>48</v>
      </c>
      <c r="AD189" s="472" t="s">
        <v>54</v>
      </c>
      <c r="AE189" s="472" t="s">
        <v>54</v>
      </c>
      <c r="AF189" s="472" t="s">
        <v>54</v>
      </c>
      <c r="AG189" s="472" t="s">
        <v>85</v>
      </c>
      <c r="AH189" s="472" t="s">
        <v>86</v>
      </c>
      <c r="AI189" s="472" t="s">
        <v>48</v>
      </c>
      <c r="AJ189" s="472" t="s">
        <v>529</v>
      </c>
      <c r="AK189" s="472"/>
      <c r="AL189" s="472" t="s">
        <v>57</v>
      </c>
      <c r="AM189" s="472"/>
      <c r="AN189" s="472"/>
      <c r="AO189" s="472"/>
      <c r="AP189" s="472"/>
      <c r="AQ189" s="472"/>
      <c r="AR189" s="135">
        <f>COUNTIF(B:B,B189)</f>
        <v>1</v>
      </c>
      <c r="AS189" s="135" t="str">
        <f t="shared" si="104"/>
        <v>2021_09_06_a</v>
      </c>
      <c r="AT189" s="136"/>
      <c r="AU189" s="135" t="str">
        <f t="shared" si="105"/>
        <v>2021</v>
      </c>
      <c r="AV189" s="135" t="str">
        <f t="shared" si="106"/>
        <v>09</v>
      </c>
      <c r="AW189" s="135" t="str">
        <f t="shared" si="107"/>
        <v>06</v>
      </c>
      <c r="AX189" s="135">
        <f t="shared" si="108"/>
        <v>44445</v>
      </c>
      <c r="AY189" s="137"/>
      <c r="AZ189" s="138">
        <f t="shared" si="109"/>
        <v>44445</v>
      </c>
      <c r="BA189" s="135" t="b">
        <f t="shared" si="110"/>
        <v>1</v>
      </c>
      <c r="BB189" s="135">
        <f t="shared" si="111"/>
        <v>44445</v>
      </c>
      <c r="BC189" s="135" t="str">
        <f t="shared" si="112"/>
        <v>no</v>
      </c>
      <c r="BD189" s="135" t="b">
        <f t="shared" si="113"/>
        <v>0</v>
      </c>
      <c r="BE189" s="139" t="s">
        <v>59</v>
      </c>
      <c r="BF189" s="136"/>
    </row>
    <row r="190" spans="1:58" s="126" customFormat="1" ht="154">
      <c r="A190" s="472"/>
      <c r="B190" s="472" t="s">
        <v>602</v>
      </c>
      <c r="C190" s="472"/>
      <c r="D190" s="81">
        <v>10105351</v>
      </c>
      <c r="E190" s="472"/>
      <c r="F190" s="471" t="s">
        <v>555</v>
      </c>
      <c r="G190" s="174" t="s">
        <v>463</v>
      </c>
      <c r="H190" s="175">
        <v>44445</v>
      </c>
      <c r="I190" s="176">
        <v>44456</v>
      </c>
      <c r="J190" s="175">
        <v>44459</v>
      </c>
      <c r="K190" s="176">
        <v>44470</v>
      </c>
      <c r="L190" s="176">
        <v>44473</v>
      </c>
      <c r="M190" s="176" t="s">
        <v>383</v>
      </c>
      <c r="N190" s="176" t="s">
        <v>383</v>
      </c>
      <c r="O190" s="176" t="s">
        <v>383</v>
      </c>
      <c r="P190" s="176" t="s">
        <v>383</v>
      </c>
      <c r="Q190" s="472" t="s">
        <v>93</v>
      </c>
      <c r="R190" s="472" t="s">
        <v>603</v>
      </c>
      <c r="S190" s="472">
        <f t="shared" si="126"/>
        <v>26</v>
      </c>
      <c r="T190" s="189">
        <v>26</v>
      </c>
      <c r="U190" s="189">
        <v>26</v>
      </c>
      <c r="V190" s="472">
        <v>0</v>
      </c>
      <c r="W190" s="472" t="s">
        <v>559</v>
      </c>
      <c r="X190" s="472" t="s">
        <v>522</v>
      </c>
      <c r="Y190" s="472"/>
      <c r="Z190" s="472" t="s">
        <v>54</v>
      </c>
      <c r="AA190" s="472" t="s">
        <v>54</v>
      </c>
      <c r="AB190" s="472" t="s">
        <v>54</v>
      </c>
      <c r="AC190" s="472" t="s">
        <v>48</v>
      </c>
      <c r="AD190" s="472" t="s">
        <v>54</v>
      </c>
      <c r="AE190" s="472" t="s">
        <v>54</v>
      </c>
      <c r="AF190" s="472" t="s">
        <v>54</v>
      </c>
      <c r="AG190" s="472" t="s">
        <v>85</v>
      </c>
      <c r="AH190" s="472" t="s">
        <v>86</v>
      </c>
      <c r="AI190" s="472" t="s">
        <v>48</v>
      </c>
      <c r="AJ190" s="472" t="s">
        <v>529</v>
      </c>
      <c r="AK190" s="472"/>
      <c r="AL190" s="472" t="s">
        <v>57</v>
      </c>
      <c r="AM190" s="472"/>
      <c r="AN190" s="472"/>
      <c r="AO190" s="472"/>
      <c r="AP190" s="472"/>
      <c r="AQ190" s="472"/>
      <c r="AR190" s="135">
        <f>COUNTIF(B:B,B190)</f>
        <v>1</v>
      </c>
      <c r="AS190" s="135" t="str">
        <f t="shared" si="104"/>
        <v>2021_09_06_b</v>
      </c>
      <c r="AT190" s="136"/>
      <c r="AU190" s="135" t="str">
        <f t="shared" si="105"/>
        <v>2021</v>
      </c>
      <c r="AV190" s="135" t="str">
        <f t="shared" si="106"/>
        <v>09</v>
      </c>
      <c r="AW190" s="135" t="str">
        <f t="shared" si="107"/>
        <v>06</v>
      </c>
      <c r="AX190" s="135">
        <f t="shared" si="108"/>
        <v>44445</v>
      </c>
      <c r="AY190" s="137"/>
      <c r="AZ190" s="138">
        <f t="shared" si="109"/>
        <v>44445</v>
      </c>
      <c r="BA190" s="135" t="b">
        <f t="shared" si="110"/>
        <v>1</v>
      </c>
      <c r="BB190" s="135">
        <f t="shared" si="111"/>
        <v>44445</v>
      </c>
      <c r="BC190" s="135" t="str">
        <f t="shared" si="112"/>
        <v>no</v>
      </c>
      <c r="BD190" s="135" t="b">
        <f t="shared" si="113"/>
        <v>0</v>
      </c>
      <c r="BE190" s="139" t="s">
        <v>59</v>
      </c>
      <c r="BF190" s="136"/>
    </row>
    <row r="191" spans="1:58" s="127" customFormat="1" ht="154">
      <c r="B191" s="127" t="s">
        <v>604</v>
      </c>
      <c r="D191" s="127">
        <v>10105762</v>
      </c>
      <c r="F191" s="182" t="s">
        <v>555</v>
      </c>
      <c r="G191" s="183" t="s">
        <v>463</v>
      </c>
      <c r="H191" s="184">
        <v>44459</v>
      </c>
      <c r="I191" s="185">
        <v>44470</v>
      </c>
      <c r="J191" s="184">
        <v>44473</v>
      </c>
      <c r="K191" s="185">
        <v>44126</v>
      </c>
      <c r="L191" s="185">
        <v>44494</v>
      </c>
      <c r="M191" s="185" t="s">
        <v>383</v>
      </c>
      <c r="N191" s="185" t="s">
        <v>383</v>
      </c>
      <c r="O191" s="185" t="s">
        <v>383</v>
      </c>
      <c r="P191" s="185" t="s">
        <v>383</v>
      </c>
      <c r="Q191" s="127" t="s">
        <v>93</v>
      </c>
      <c r="R191" s="127" t="s">
        <v>463</v>
      </c>
      <c r="S191" s="472">
        <f t="shared" si="126"/>
        <v>38</v>
      </c>
      <c r="T191" s="189">
        <v>38</v>
      </c>
      <c r="U191" s="189">
        <v>38</v>
      </c>
      <c r="V191" s="472">
        <v>0</v>
      </c>
      <c r="W191" s="127" t="s">
        <v>559</v>
      </c>
      <c r="X191" s="127" t="s">
        <v>522</v>
      </c>
      <c r="Z191" s="127" t="s">
        <v>54</v>
      </c>
      <c r="AA191" s="127" t="s">
        <v>54</v>
      </c>
      <c r="AB191" s="127" t="s">
        <v>54</v>
      </c>
      <c r="AC191" s="127" t="s">
        <v>48</v>
      </c>
      <c r="AD191" s="127" t="s">
        <v>54</v>
      </c>
      <c r="AE191" s="127" t="s">
        <v>54</v>
      </c>
      <c r="AF191" s="127" t="s">
        <v>54</v>
      </c>
      <c r="AG191" s="127" t="s">
        <v>85</v>
      </c>
      <c r="AH191" s="127" t="s">
        <v>86</v>
      </c>
      <c r="AI191" s="127" t="s">
        <v>48</v>
      </c>
      <c r="AJ191" s="127" t="s">
        <v>529</v>
      </c>
      <c r="AL191" s="127" t="s">
        <v>57</v>
      </c>
      <c r="AR191" s="135">
        <f>COUNTIF(B:B,B191)</f>
        <v>1</v>
      </c>
      <c r="AS191" s="135" t="str">
        <f t="shared" si="104"/>
        <v>2021_09_20_a</v>
      </c>
      <c r="AT191" s="136"/>
      <c r="AU191" s="135" t="str">
        <f t="shared" si="105"/>
        <v>2021</v>
      </c>
      <c r="AV191" s="135" t="str">
        <f t="shared" si="106"/>
        <v>09</v>
      </c>
      <c r="AW191" s="135" t="str">
        <f t="shared" si="107"/>
        <v>20</v>
      </c>
      <c r="AX191" s="135">
        <f t="shared" si="108"/>
        <v>44459</v>
      </c>
      <c r="AY191" s="137"/>
      <c r="AZ191" s="138">
        <f t="shared" si="109"/>
        <v>44459</v>
      </c>
      <c r="BA191" s="135" t="b">
        <f t="shared" si="110"/>
        <v>1</v>
      </c>
      <c r="BB191" s="135">
        <f t="shared" si="111"/>
        <v>44459</v>
      </c>
      <c r="BC191" s="135" t="str">
        <f t="shared" si="112"/>
        <v>no</v>
      </c>
      <c r="BD191" s="135" t="b">
        <f t="shared" si="113"/>
        <v>0</v>
      </c>
      <c r="BE191" s="139" t="s">
        <v>59</v>
      </c>
      <c r="BF191" s="136"/>
    </row>
    <row r="192" spans="1:58" s="126" customFormat="1" ht="154">
      <c r="A192" s="472"/>
      <c r="B192" s="472" t="s">
        <v>605</v>
      </c>
      <c r="C192" s="472"/>
      <c r="D192" s="81">
        <v>10223328</v>
      </c>
      <c r="E192" s="472"/>
      <c r="F192" s="471" t="s">
        <v>555</v>
      </c>
      <c r="G192" s="174" t="s">
        <v>463</v>
      </c>
      <c r="H192" s="175">
        <v>44480</v>
      </c>
      <c r="I192" s="176">
        <v>44491</v>
      </c>
      <c r="J192" s="175">
        <v>44494</v>
      </c>
      <c r="K192" s="176">
        <v>44505</v>
      </c>
      <c r="L192" s="176">
        <v>44508</v>
      </c>
      <c r="M192" s="176" t="s">
        <v>383</v>
      </c>
      <c r="N192" s="176" t="s">
        <v>383</v>
      </c>
      <c r="O192" s="176" t="s">
        <v>383</v>
      </c>
      <c r="P192" s="176" t="s">
        <v>383</v>
      </c>
      <c r="Q192" s="472" t="s">
        <v>106</v>
      </c>
      <c r="R192" s="472" t="s">
        <v>463</v>
      </c>
      <c r="S192" s="81">
        <f t="shared" si="126"/>
        <v>28</v>
      </c>
      <c r="T192" s="472">
        <v>28</v>
      </c>
      <c r="U192" s="472">
        <v>28</v>
      </c>
      <c r="V192" s="472">
        <v>0</v>
      </c>
      <c r="W192" s="472" t="s">
        <v>559</v>
      </c>
      <c r="X192" s="472" t="s">
        <v>522</v>
      </c>
      <c r="Y192" s="472"/>
      <c r="Z192" s="472" t="s">
        <v>54</v>
      </c>
      <c r="AA192" s="472" t="s">
        <v>54</v>
      </c>
      <c r="AB192" s="472" t="s">
        <v>54</v>
      </c>
      <c r="AC192" s="472" t="s">
        <v>48</v>
      </c>
      <c r="AD192" s="472" t="s">
        <v>54</v>
      </c>
      <c r="AE192" s="472" t="s">
        <v>54</v>
      </c>
      <c r="AF192" s="472" t="s">
        <v>54</v>
      </c>
      <c r="AG192" s="472" t="s">
        <v>85</v>
      </c>
      <c r="AH192" s="472" t="s">
        <v>86</v>
      </c>
      <c r="AI192" s="472" t="s">
        <v>48</v>
      </c>
      <c r="AJ192" s="472" t="s">
        <v>529</v>
      </c>
      <c r="AK192" s="472"/>
      <c r="AL192" s="472" t="s">
        <v>57</v>
      </c>
      <c r="AM192" s="472"/>
      <c r="AN192" s="472"/>
      <c r="AO192" s="472"/>
      <c r="AP192" s="472"/>
      <c r="AQ192" s="472"/>
      <c r="AR192" s="135">
        <f>COUNTIF(B:B,B192)</f>
        <v>1</v>
      </c>
      <c r="AS192" s="135" t="str">
        <f t="shared" si="104"/>
        <v>2021_10_11_a</v>
      </c>
      <c r="AT192" s="136"/>
      <c r="AU192" s="135" t="str">
        <f t="shared" si="105"/>
        <v>2021</v>
      </c>
      <c r="AV192" s="135" t="str">
        <f t="shared" si="106"/>
        <v>10</v>
      </c>
      <c r="AW192" s="135" t="str">
        <f t="shared" si="107"/>
        <v>11</v>
      </c>
      <c r="AX192" s="135">
        <f t="shared" si="108"/>
        <v>44480</v>
      </c>
      <c r="AY192" s="137"/>
      <c r="AZ192" s="138">
        <f t="shared" si="109"/>
        <v>44480</v>
      </c>
      <c r="BA192" s="135" t="b">
        <f t="shared" si="110"/>
        <v>1</v>
      </c>
      <c r="BB192" s="135">
        <f t="shared" si="111"/>
        <v>44480</v>
      </c>
      <c r="BC192" s="135" t="str">
        <f t="shared" si="112"/>
        <v>no</v>
      </c>
      <c r="BD192" s="135" t="b">
        <f t="shared" si="113"/>
        <v>0</v>
      </c>
      <c r="BE192" s="139" t="s">
        <v>59</v>
      </c>
      <c r="BF192" s="136"/>
    </row>
    <row r="193" spans="2:58" s="126" customFormat="1" ht="154">
      <c r="B193" s="472" t="s">
        <v>606</v>
      </c>
      <c r="C193" s="472"/>
      <c r="D193" s="81">
        <v>10223332</v>
      </c>
      <c r="E193" s="472"/>
      <c r="F193" s="471" t="s">
        <v>555</v>
      </c>
      <c r="G193" s="174" t="s">
        <v>463</v>
      </c>
      <c r="H193" s="175">
        <v>44480</v>
      </c>
      <c r="I193" s="176">
        <v>44491</v>
      </c>
      <c r="J193" s="175">
        <v>44494</v>
      </c>
      <c r="K193" s="176">
        <v>44505</v>
      </c>
      <c r="L193" s="176">
        <v>44508</v>
      </c>
      <c r="M193" s="176" t="s">
        <v>383</v>
      </c>
      <c r="N193" s="176" t="s">
        <v>383</v>
      </c>
      <c r="O193" s="176" t="s">
        <v>383</v>
      </c>
      <c r="P193" s="176" t="s">
        <v>383</v>
      </c>
      <c r="Q193" s="472" t="s">
        <v>106</v>
      </c>
      <c r="R193" s="472" t="s">
        <v>603</v>
      </c>
      <c r="S193" s="81">
        <f t="shared" si="126"/>
        <v>27</v>
      </c>
      <c r="T193" s="472">
        <v>27</v>
      </c>
      <c r="U193" s="472">
        <v>27</v>
      </c>
      <c r="V193" s="472">
        <v>0</v>
      </c>
      <c r="W193" s="472" t="s">
        <v>559</v>
      </c>
      <c r="X193" s="472" t="s">
        <v>522</v>
      </c>
      <c r="Y193" s="472"/>
      <c r="Z193" s="472" t="s">
        <v>54</v>
      </c>
      <c r="AA193" s="472" t="s">
        <v>54</v>
      </c>
      <c r="AB193" s="472" t="s">
        <v>54</v>
      </c>
      <c r="AC193" s="472" t="s">
        <v>48</v>
      </c>
      <c r="AD193" s="472" t="s">
        <v>54</v>
      </c>
      <c r="AE193" s="472" t="s">
        <v>54</v>
      </c>
      <c r="AF193" s="472" t="s">
        <v>54</v>
      </c>
      <c r="AG193" s="472" t="s">
        <v>85</v>
      </c>
      <c r="AH193" s="472" t="s">
        <v>86</v>
      </c>
      <c r="AI193" s="472" t="s">
        <v>48</v>
      </c>
      <c r="AJ193" s="472" t="s">
        <v>529</v>
      </c>
      <c r="AK193" s="472"/>
      <c r="AL193" s="472" t="s">
        <v>57</v>
      </c>
      <c r="AM193" s="472"/>
      <c r="AN193" s="472"/>
      <c r="AO193" s="472"/>
      <c r="AP193" s="472"/>
      <c r="AQ193" s="472"/>
      <c r="AR193" s="135">
        <f>COUNTIF(B:B,B193)</f>
        <v>1</v>
      </c>
      <c r="AS193" s="135" t="str">
        <f t="shared" si="104"/>
        <v>2021_10_11_b</v>
      </c>
      <c r="AT193" s="136"/>
      <c r="AU193" s="135" t="str">
        <f t="shared" si="105"/>
        <v>2021</v>
      </c>
      <c r="AV193" s="135" t="str">
        <f t="shared" si="106"/>
        <v>10</v>
      </c>
      <c r="AW193" s="135" t="str">
        <f t="shared" si="107"/>
        <v>11</v>
      </c>
      <c r="AX193" s="135">
        <f t="shared" si="108"/>
        <v>44480</v>
      </c>
      <c r="AY193" s="137"/>
      <c r="AZ193" s="138">
        <f t="shared" si="109"/>
        <v>44480</v>
      </c>
      <c r="BA193" s="135" t="b">
        <f t="shared" si="110"/>
        <v>1</v>
      </c>
      <c r="BB193" s="135">
        <f t="shared" si="111"/>
        <v>44480</v>
      </c>
      <c r="BC193" s="135" t="str">
        <f t="shared" si="112"/>
        <v>no</v>
      </c>
      <c r="BD193" s="135" t="b">
        <f t="shared" si="113"/>
        <v>0</v>
      </c>
      <c r="BE193" s="139" t="s">
        <v>59</v>
      </c>
      <c r="BF193" s="136"/>
    </row>
    <row r="194" spans="2:58" s="126" customFormat="1" ht="154">
      <c r="B194" s="472" t="s">
        <v>607</v>
      </c>
      <c r="C194" s="472"/>
      <c r="D194" s="81" t="s">
        <v>608</v>
      </c>
      <c r="E194" s="472"/>
      <c r="F194" s="471" t="s">
        <v>555</v>
      </c>
      <c r="G194" s="174" t="s">
        <v>463</v>
      </c>
      <c r="H194" s="175">
        <v>44508</v>
      </c>
      <c r="I194" s="176">
        <v>44519</v>
      </c>
      <c r="J194" s="175">
        <v>44522</v>
      </c>
      <c r="K194" s="176">
        <v>44533</v>
      </c>
      <c r="L194" s="176">
        <v>44536</v>
      </c>
      <c r="M194" s="176" t="s">
        <v>383</v>
      </c>
      <c r="N194" s="176" t="s">
        <v>383</v>
      </c>
      <c r="O194" s="176" t="s">
        <v>383</v>
      </c>
      <c r="P194" s="176" t="s">
        <v>383</v>
      </c>
      <c r="Q194" s="472" t="s">
        <v>106</v>
      </c>
      <c r="R194" s="472" t="s">
        <v>463</v>
      </c>
      <c r="S194" s="127">
        <f t="shared" si="126"/>
        <v>26</v>
      </c>
      <c r="T194" s="472">
        <v>26</v>
      </c>
      <c r="U194" s="472">
        <v>26</v>
      </c>
      <c r="V194" s="472">
        <v>0</v>
      </c>
      <c r="W194" s="472" t="s">
        <v>559</v>
      </c>
      <c r="X194" s="472" t="s">
        <v>522</v>
      </c>
      <c r="Y194" s="472"/>
      <c r="Z194" s="472" t="s">
        <v>54</v>
      </c>
      <c r="AA194" s="472" t="s">
        <v>54</v>
      </c>
      <c r="AB194" s="472" t="s">
        <v>54</v>
      </c>
      <c r="AC194" s="472" t="s">
        <v>48</v>
      </c>
      <c r="AD194" s="472" t="s">
        <v>54</v>
      </c>
      <c r="AE194" s="472" t="s">
        <v>54</v>
      </c>
      <c r="AF194" s="472" t="s">
        <v>54</v>
      </c>
      <c r="AG194" s="472" t="s">
        <v>85</v>
      </c>
      <c r="AH194" s="472" t="s">
        <v>86</v>
      </c>
      <c r="AI194" s="472" t="s">
        <v>48</v>
      </c>
      <c r="AJ194" s="472" t="s">
        <v>529</v>
      </c>
      <c r="AK194" s="472"/>
      <c r="AL194" s="472" t="s">
        <v>57</v>
      </c>
      <c r="AM194" s="472"/>
      <c r="AN194" s="472"/>
      <c r="AO194" s="472"/>
      <c r="AP194" s="472"/>
      <c r="AQ194" s="472"/>
      <c r="AR194" s="135">
        <f>COUNTIF(B:B,B194)</f>
        <v>1</v>
      </c>
      <c r="AS194" s="135" t="str">
        <f t="shared" si="104"/>
        <v>2021_11_08_a</v>
      </c>
      <c r="AT194" s="136"/>
      <c r="AU194" s="135" t="str">
        <f t="shared" si="105"/>
        <v>2021</v>
      </c>
      <c r="AV194" s="135" t="str">
        <f t="shared" si="106"/>
        <v>11</v>
      </c>
      <c r="AW194" s="135" t="str">
        <f t="shared" si="107"/>
        <v>08</v>
      </c>
      <c r="AX194" s="135">
        <f t="shared" si="108"/>
        <v>44508</v>
      </c>
      <c r="AY194" s="137"/>
      <c r="AZ194" s="138">
        <f t="shared" si="109"/>
        <v>44508</v>
      </c>
      <c r="BA194" s="135" t="b">
        <f t="shared" si="110"/>
        <v>1</v>
      </c>
      <c r="BB194" s="135">
        <f t="shared" si="111"/>
        <v>44508</v>
      </c>
      <c r="BC194" s="135" t="str">
        <f t="shared" si="112"/>
        <v>no</v>
      </c>
      <c r="BD194" s="135" t="b">
        <f t="shared" si="113"/>
        <v>0</v>
      </c>
      <c r="BE194" s="139" t="s">
        <v>59</v>
      </c>
      <c r="BF194" s="136"/>
    </row>
    <row r="195" spans="2:58" s="127" customFormat="1" ht="154">
      <c r="B195" s="127" t="s">
        <v>609</v>
      </c>
      <c r="D195" s="127">
        <v>10228488</v>
      </c>
      <c r="F195" s="182" t="s">
        <v>555</v>
      </c>
      <c r="G195" s="183" t="s">
        <v>463</v>
      </c>
      <c r="H195" s="184">
        <v>44508</v>
      </c>
      <c r="I195" s="185">
        <v>44519</v>
      </c>
      <c r="J195" s="184">
        <v>44522</v>
      </c>
      <c r="K195" s="185">
        <v>44533</v>
      </c>
      <c r="L195" s="185">
        <v>44536</v>
      </c>
      <c r="M195" s="185" t="s">
        <v>383</v>
      </c>
      <c r="N195" s="185" t="s">
        <v>383</v>
      </c>
      <c r="O195" s="185" t="s">
        <v>383</v>
      </c>
      <c r="P195" s="185" t="s">
        <v>383</v>
      </c>
      <c r="Q195" s="127" t="s">
        <v>106</v>
      </c>
      <c r="R195" s="127" t="s">
        <v>463</v>
      </c>
      <c r="S195" s="127">
        <f t="shared" si="126"/>
        <v>32</v>
      </c>
      <c r="T195" s="127">
        <v>32</v>
      </c>
      <c r="U195" s="127">
        <v>32</v>
      </c>
      <c r="V195" s="472">
        <v>0</v>
      </c>
      <c r="W195" s="127" t="s">
        <v>559</v>
      </c>
      <c r="X195" s="127" t="s">
        <v>522</v>
      </c>
      <c r="Z195" s="127" t="s">
        <v>54</v>
      </c>
      <c r="AA195" s="127" t="s">
        <v>54</v>
      </c>
      <c r="AB195" s="127" t="s">
        <v>54</v>
      </c>
      <c r="AC195" s="127" t="s">
        <v>48</v>
      </c>
      <c r="AD195" s="127" t="s">
        <v>54</v>
      </c>
      <c r="AE195" s="127" t="s">
        <v>54</v>
      </c>
      <c r="AF195" s="127" t="s">
        <v>54</v>
      </c>
      <c r="AG195" s="127" t="s">
        <v>85</v>
      </c>
      <c r="AH195" s="127" t="s">
        <v>86</v>
      </c>
      <c r="AI195" s="127" t="s">
        <v>48</v>
      </c>
      <c r="AJ195" s="127" t="s">
        <v>529</v>
      </c>
      <c r="AL195" s="127" t="s">
        <v>57</v>
      </c>
      <c r="AR195" s="135">
        <f>COUNTIF(B:B,B195)</f>
        <v>1</v>
      </c>
      <c r="AS195" s="135" t="str">
        <f t="shared" si="104"/>
        <v>2021_11_08_b</v>
      </c>
      <c r="AT195" s="136"/>
      <c r="AU195" s="135" t="str">
        <f t="shared" si="105"/>
        <v>2021</v>
      </c>
      <c r="AV195" s="135" t="str">
        <f t="shared" si="106"/>
        <v>11</v>
      </c>
      <c r="AW195" s="135" t="str">
        <f t="shared" si="107"/>
        <v>08</v>
      </c>
      <c r="AX195" s="135">
        <f t="shared" si="108"/>
        <v>44508</v>
      </c>
      <c r="AY195" s="137"/>
      <c r="AZ195" s="138">
        <f t="shared" si="109"/>
        <v>44508</v>
      </c>
      <c r="BA195" s="135" t="b">
        <f t="shared" si="110"/>
        <v>1</v>
      </c>
      <c r="BB195" s="135">
        <f t="shared" si="111"/>
        <v>44508</v>
      </c>
      <c r="BC195" s="135" t="str">
        <f t="shared" si="112"/>
        <v>no</v>
      </c>
      <c r="BD195" s="135" t="b">
        <f t="shared" si="113"/>
        <v>0</v>
      </c>
      <c r="BE195" s="139" t="s">
        <v>59</v>
      </c>
      <c r="BF195" s="136"/>
    </row>
    <row r="196" spans="2:58" s="127" customFormat="1" ht="154">
      <c r="B196" s="127" t="s">
        <v>610</v>
      </c>
      <c r="D196" s="127" t="s">
        <v>611</v>
      </c>
      <c r="F196" s="182" t="s">
        <v>555</v>
      </c>
      <c r="G196" s="183" t="s">
        <v>463</v>
      </c>
      <c r="H196" s="184">
        <v>44599</v>
      </c>
      <c r="I196" s="185">
        <v>44610</v>
      </c>
      <c r="J196" s="184">
        <v>44612</v>
      </c>
      <c r="K196" s="185">
        <v>44624</v>
      </c>
      <c r="L196" s="185">
        <v>44627</v>
      </c>
      <c r="M196" s="185" t="s">
        <v>383</v>
      </c>
      <c r="N196" s="185" t="s">
        <v>383</v>
      </c>
      <c r="O196" s="185" t="s">
        <v>383</v>
      </c>
      <c r="P196" s="185" t="s">
        <v>383</v>
      </c>
      <c r="Q196" s="127" t="s">
        <v>49</v>
      </c>
      <c r="R196" s="127" t="s">
        <v>463</v>
      </c>
      <c r="S196" s="127">
        <f t="shared" si="126"/>
        <v>32</v>
      </c>
      <c r="T196" s="127">
        <v>32</v>
      </c>
      <c r="U196" s="127">
        <v>32</v>
      </c>
      <c r="V196" s="472">
        <v>0</v>
      </c>
      <c r="W196" s="127" t="s">
        <v>559</v>
      </c>
      <c r="X196" s="127" t="s">
        <v>522</v>
      </c>
      <c r="Z196" s="127" t="s">
        <v>54</v>
      </c>
      <c r="AA196" s="127" t="s">
        <v>54</v>
      </c>
      <c r="AB196" s="127" t="s">
        <v>52</v>
      </c>
      <c r="AC196" s="127" t="s">
        <v>48</v>
      </c>
      <c r="AD196" s="127" t="s">
        <v>54</v>
      </c>
      <c r="AE196" s="127" t="s">
        <v>54</v>
      </c>
      <c r="AF196" s="127" t="s">
        <v>54</v>
      </c>
      <c r="AG196" s="127" t="s">
        <v>85</v>
      </c>
      <c r="AH196" s="127" t="s">
        <v>529</v>
      </c>
      <c r="AI196" s="127" t="s">
        <v>48</v>
      </c>
      <c r="AJ196" s="127" t="s">
        <v>529</v>
      </c>
      <c r="AL196" s="127" t="s">
        <v>57</v>
      </c>
      <c r="AR196" s="135">
        <f>COUNTIF(B:B,B196)</f>
        <v>1</v>
      </c>
      <c r="AS196" s="135" t="str">
        <f t="shared" si="104"/>
        <v>2022_02_07_a</v>
      </c>
      <c r="AT196" s="136"/>
      <c r="AU196" s="135" t="str">
        <f t="shared" si="105"/>
        <v>2022</v>
      </c>
      <c r="AV196" s="135" t="str">
        <f t="shared" si="106"/>
        <v>02</v>
      </c>
      <c r="AW196" s="135" t="str">
        <f t="shared" si="107"/>
        <v>07</v>
      </c>
      <c r="AX196" s="135">
        <f t="shared" si="108"/>
        <v>44599</v>
      </c>
      <c r="AY196" s="137"/>
      <c r="AZ196" s="138">
        <f t="shared" si="109"/>
        <v>44599</v>
      </c>
      <c r="BA196" s="135" t="b">
        <f t="shared" si="110"/>
        <v>1</v>
      </c>
      <c r="BB196" s="135">
        <f t="shared" si="111"/>
        <v>44599</v>
      </c>
      <c r="BC196" s="135" t="str">
        <f t="shared" si="112"/>
        <v>no</v>
      </c>
      <c r="BD196" s="135" t="b">
        <f t="shared" si="113"/>
        <v>0</v>
      </c>
      <c r="BE196" s="139" t="s">
        <v>59</v>
      </c>
      <c r="BF196" s="136"/>
    </row>
    <row r="197" spans="2:58" s="127" customFormat="1" ht="154">
      <c r="B197" s="127" t="s">
        <v>612</v>
      </c>
      <c r="D197" s="127">
        <v>10247907</v>
      </c>
      <c r="F197" s="182" t="s">
        <v>555</v>
      </c>
      <c r="G197" s="183" t="s">
        <v>463</v>
      </c>
      <c r="H197" s="184">
        <v>44613</v>
      </c>
      <c r="I197" s="184">
        <v>44624</v>
      </c>
      <c r="J197" s="184">
        <v>44627</v>
      </c>
      <c r="K197" s="184">
        <v>44638</v>
      </c>
      <c r="L197" s="184">
        <v>44641</v>
      </c>
      <c r="M197" s="185" t="s">
        <v>383</v>
      </c>
      <c r="N197" s="185" t="s">
        <v>383</v>
      </c>
      <c r="O197" s="185" t="s">
        <v>383</v>
      </c>
      <c r="P197" s="185" t="s">
        <v>383</v>
      </c>
      <c r="Q197" s="127" t="s">
        <v>49</v>
      </c>
      <c r="R197" s="127" t="s">
        <v>463</v>
      </c>
      <c r="S197" s="127">
        <f t="shared" si="126"/>
        <v>25</v>
      </c>
      <c r="T197" s="127">
        <v>25</v>
      </c>
      <c r="U197" s="127">
        <v>25</v>
      </c>
      <c r="V197" s="472">
        <v>0</v>
      </c>
      <c r="W197" s="127" t="s">
        <v>559</v>
      </c>
      <c r="X197" s="127" t="s">
        <v>522</v>
      </c>
      <c r="Z197" s="127" t="s">
        <v>54</v>
      </c>
      <c r="AA197" s="127" t="s">
        <v>54</v>
      </c>
      <c r="AB197" s="127" t="s">
        <v>52</v>
      </c>
      <c r="AC197" s="127" t="s">
        <v>48</v>
      </c>
      <c r="AD197" s="127" t="s">
        <v>54</v>
      </c>
      <c r="AE197" s="127" t="s">
        <v>54</v>
      </c>
      <c r="AF197" s="127" t="s">
        <v>54</v>
      </c>
      <c r="AG197" s="127" t="s">
        <v>85</v>
      </c>
      <c r="AH197" s="127" t="s">
        <v>86</v>
      </c>
      <c r="AI197" s="127" t="s">
        <v>48</v>
      </c>
      <c r="AJ197" s="127" t="s">
        <v>529</v>
      </c>
      <c r="AL197" s="127" t="s">
        <v>57</v>
      </c>
      <c r="AR197" s="135">
        <f>COUNTIF(B:B,B197)</f>
        <v>1</v>
      </c>
      <c r="AS197" s="135" t="str">
        <f t="shared" si="104"/>
        <v>2022_02_21_a</v>
      </c>
      <c r="AT197" s="136"/>
      <c r="AU197" s="135" t="str">
        <f t="shared" si="105"/>
        <v>2022</v>
      </c>
      <c r="AV197" s="135" t="str">
        <f t="shared" si="106"/>
        <v>02</v>
      </c>
      <c r="AW197" s="135" t="str">
        <f t="shared" si="107"/>
        <v>21</v>
      </c>
      <c r="AX197" s="135">
        <f t="shared" si="108"/>
        <v>44613</v>
      </c>
      <c r="AY197" s="137"/>
      <c r="AZ197" s="138">
        <f t="shared" si="109"/>
        <v>44613</v>
      </c>
      <c r="BA197" s="135" t="b">
        <f t="shared" si="110"/>
        <v>1</v>
      </c>
      <c r="BB197" s="135">
        <f t="shared" si="111"/>
        <v>44613</v>
      </c>
      <c r="BC197" s="135" t="str">
        <f t="shared" si="112"/>
        <v>no</v>
      </c>
      <c r="BD197" s="135" t="b">
        <f t="shared" si="113"/>
        <v>0</v>
      </c>
      <c r="BE197" s="139" t="s">
        <v>59</v>
      </c>
      <c r="BF197" s="136"/>
    </row>
    <row r="198" spans="2:58" s="127" customFormat="1" ht="154">
      <c r="B198" s="127" t="s">
        <v>613</v>
      </c>
      <c r="D198" s="127">
        <v>10253812</v>
      </c>
      <c r="F198" s="182" t="s">
        <v>555</v>
      </c>
      <c r="G198" s="183" t="s">
        <v>463</v>
      </c>
      <c r="H198" s="184">
        <v>44627</v>
      </c>
      <c r="I198" s="184">
        <v>44638</v>
      </c>
      <c r="J198" s="184">
        <v>44641</v>
      </c>
      <c r="K198" s="184">
        <v>44652</v>
      </c>
      <c r="L198" s="184">
        <v>44655</v>
      </c>
      <c r="M198" s="185" t="s">
        <v>383</v>
      </c>
      <c r="N198" s="185" t="s">
        <v>383</v>
      </c>
      <c r="O198" s="185" t="s">
        <v>383</v>
      </c>
      <c r="P198" s="185" t="s">
        <v>383</v>
      </c>
      <c r="Q198" s="127" t="s">
        <v>49</v>
      </c>
      <c r="R198" s="127" t="s">
        <v>463</v>
      </c>
      <c r="S198" s="127">
        <f t="shared" si="126"/>
        <v>18</v>
      </c>
      <c r="T198" s="127">
        <v>18</v>
      </c>
      <c r="U198" s="127">
        <v>18</v>
      </c>
      <c r="V198" s="472">
        <v>0</v>
      </c>
      <c r="W198" s="127" t="s">
        <v>559</v>
      </c>
      <c r="X198" s="127" t="s">
        <v>522</v>
      </c>
      <c r="Z198" s="127" t="s">
        <v>54</v>
      </c>
      <c r="AA198" s="127" t="s">
        <v>54</v>
      </c>
      <c r="AB198" s="127" t="s">
        <v>52</v>
      </c>
      <c r="AC198" s="127" t="s">
        <v>48</v>
      </c>
      <c r="AD198" s="127" t="s">
        <v>54</v>
      </c>
      <c r="AE198" s="127" t="s">
        <v>54</v>
      </c>
      <c r="AF198" s="127" t="s">
        <v>54</v>
      </c>
      <c r="AG198" s="127" t="s">
        <v>614</v>
      </c>
      <c r="AH198" s="127" t="s">
        <v>86</v>
      </c>
      <c r="AI198" s="127" t="s">
        <v>48</v>
      </c>
      <c r="AJ198" s="127" t="s">
        <v>529</v>
      </c>
      <c r="AL198" s="127" t="s">
        <v>57</v>
      </c>
      <c r="AR198" s="135">
        <f>COUNTIF(B:B,B198)</f>
        <v>1</v>
      </c>
      <c r="AS198" s="135" t="str">
        <f t="shared" si="104"/>
        <v>2022_03_07_a</v>
      </c>
      <c r="AT198" s="136"/>
      <c r="AU198" s="135" t="str">
        <f t="shared" si="105"/>
        <v>2022</v>
      </c>
      <c r="AV198" s="135" t="str">
        <f t="shared" si="106"/>
        <v>03</v>
      </c>
      <c r="AW198" s="135" t="str">
        <f t="shared" si="107"/>
        <v>07</v>
      </c>
      <c r="AX198" s="135">
        <f t="shared" si="108"/>
        <v>44627</v>
      </c>
      <c r="AY198" s="137"/>
      <c r="AZ198" s="138">
        <f t="shared" si="109"/>
        <v>44627</v>
      </c>
      <c r="BA198" s="135" t="b">
        <f t="shared" si="110"/>
        <v>1</v>
      </c>
      <c r="BB198" s="135">
        <f t="shared" si="111"/>
        <v>44627</v>
      </c>
      <c r="BC198" s="135" t="str">
        <f t="shared" si="112"/>
        <v>no</v>
      </c>
      <c r="BD198" s="135" t="b">
        <f t="shared" si="113"/>
        <v>0</v>
      </c>
      <c r="BE198" s="139" t="s">
        <v>59</v>
      </c>
      <c r="BF198" s="136"/>
    </row>
    <row r="199" spans="2:58" s="127" customFormat="1" ht="154">
      <c r="B199" s="127" t="s">
        <v>615</v>
      </c>
      <c r="D199" s="127">
        <v>10265855</v>
      </c>
      <c r="F199" s="182" t="s">
        <v>555</v>
      </c>
      <c r="G199" s="183" t="s">
        <v>463</v>
      </c>
      <c r="H199" s="184">
        <v>44657</v>
      </c>
      <c r="I199" s="184">
        <v>44673</v>
      </c>
      <c r="J199" s="184">
        <v>44676</v>
      </c>
      <c r="K199" s="184">
        <v>44687</v>
      </c>
      <c r="L199" s="184">
        <v>44690</v>
      </c>
      <c r="M199" s="185" t="s">
        <v>383</v>
      </c>
      <c r="N199" s="185" t="s">
        <v>383</v>
      </c>
      <c r="O199" s="185" t="s">
        <v>383</v>
      </c>
      <c r="P199" s="185" t="s">
        <v>383</v>
      </c>
      <c r="Q199" s="127" t="s">
        <v>82</v>
      </c>
      <c r="R199" s="127" t="s">
        <v>463</v>
      </c>
      <c r="S199" s="127">
        <f t="shared" si="126"/>
        <v>20</v>
      </c>
      <c r="T199" s="127">
        <v>20</v>
      </c>
      <c r="U199" s="127">
        <v>20</v>
      </c>
      <c r="V199" s="472">
        <v>0</v>
      </c>
      <c r="Z199" s="127" t="s">
        <v>54</v>
      </c>
      <c r="AA199" s="127" t="s">
        <v>54</v>
      </c>
      <c r="AB199" s="127" t="s">
        <v>52</v>
      </c>
      <c r="AG199" s="127" t="s">
        <v>85</v>
      </c>
      <c r="AH199" s="127" t="s">
        <v>529</v>
      </c>
      <c r="AI199" s="127" t="s">
        <v>48</v>
      </c>
      <c r="AL199" s="127" t="s">
        <v>372</v>
      </c>
      <c r="AR199" s="135">
        <f>COUNTIF(B:B,B199)</f>
        <v>1</v>
      </c>
      <c r="AS199" s="135" t="str">
        <f t="shared" si="104"/>
        <v>2022_04_06_a</v>
      </c>
      <c r="AT199" s="136"/>
      <c r="AU199" s="135" t="str">
        <f t="shared" si="105"/>
        <v>2022</v>
      </c>
      <c r="AV199" s="135" t="str">
        <f t="shared" si="106"/>
        <v>04</v>
      </c>
      <c r="AW199" s="135" t="str">
        <f t="shared" si="107"/>
        <v>06</v>
      </c>
      <c r="AX199" s="135">
        <f t="shared" si="108"/>
        <v>44657</v>
      </c>
      <c r="AY199" s="137"/>
      <c r="AZ199" s="138">
        <f t="shared" si="109"/>
        <v>44657</v>
      </c>
      <c r="BA199" s="135" t="b">
        <f t="shared" si="110"/>
        <v>1</v>
      </c>
      <c r="BB199" s="135">
        <f t="shared" si="111"/>
        <v>44657</v>
      </c>
      <c r="BC199" s="135" t="str">
        <f t="shared" si="112"/>
        <v>no</v>
      </c>
      <c r="BD199" s="135" t="b">
        <f t="shared" si="113"/>
        <v>0</v>
      </c>
      <c r="BE199" s="139" t="s">
        <v>59</v>
      </c>
      <c r="BF199" s="136"/>
    </row>
    <row r="200" spans="2:58" s="127" customFormat="1" ht="154">
      <c r="B200" s="127" t="s">
        <v>616</v>
      </c>
      <c r="D200" s="127">
        <v>10265868</v>
      </c>
      <c r="F200" s="182" t="s">
        <v>555</v>
      </c>
      <c r="G200" s="183" t="s">
        <v>463</v>
      </c>
      <c r="H200" s="184">
        <v>44657</v>
      </c>
      <c r="I200" s="184">
        <v>44673</v>
      </c>
      <c r="J200" s="184">
        <v>44676</v>
      </c>
      <c r="K200" s="184">
        <v>44687</v>
      </c>
      <c r="L200" s="184">
        <v>44690</v>
      </c>
      <c r="M200" s="185" t="s">
        <v>383</v>
      </c>
      <c r="N200" s="185" t="s">
        <v>383</v>
      </c>
      <c r="O200" s="185" t="s">
        <v>383</v>
      </c>
      <c r="P200" s="185" t="s">
        <v>383</v>
      </c>
      <c r="Q200" s="127" t="s">
        <v>82</v>
      </c>
      <c r="R200" s="127" t="s">
        <v>463</v>
      </c>
      <c r="S200" s="127">
        <f t="shared" si="126"/>
        <v>20</v>
      </c>
      <c r="T200" s="127">
        <v>20</v>
      </c>
      <c r="U200" s="127">
        <v>20</v>
      </c>
      <c r="V200" s="472">
        <v>0</v>
      </c>
      <c r="Z200" s="127" t="s">
        <v>54</v>
      </c>
      <c r="AA200" s="127" t="s">
        <v>54</v>
      </c>
      <c r="AB200" s="127" t="s">
        <v>52</v>
      </c>
      <c r="AG200" s="127" t="s">
        <v>85</v>
      </c>
      <c r="AH200" s="127" t="s">
        <v>529</v>
      </c>
      <c r="AI200" s="127" t="s">
        <v>48</v>
      </c>
      <c r="AL200" s="127" t="s">
        <v>372</v>
      </c>
      <c r="AR200" s="135">
        <f>COUNTIF(B:B,B200)</f>
        <v>1</v>
      </c>
      <c r="AS200" s="135" t="str">
        <f t="shared" si="104"/>
        <v>2022_04_06_b</v>
      </c>
      <c r="AT200" s="136"/>
      <c r="AU200" s="135" t="str">
        <f t="shared" si="105"/>
        <v>2022</v>
      </c>
      <c r="AV200" s="135" t="str">
        <f t="shared" si="106"/>
        <v>04</v>
      </c>
      <c r="AW200" s="135" t="str">
        <f t="shared" si="107"/>
        <v>06</v>
      </c>
      <c r="AX200" s="135">
        <f t="shared" si="108"/>
        <v>44657</v>
      </c>
      <c r="AY200" s="137"/>
      <c r="AZ200" s="138">
        <f t="shared" si="109"/>
        <v>44657</v>
      </c>
      <c r="BA200" s="135" t="b">
        <f t="shared" si="110"/>
        <v>1</v>
      </c>
      <c r="BB200" s="135">
        <f t="shared" si="111"/>
        <v>44657</v>
      </c>
      <c r="BC200" s="135" t="str">
        <f t="shared" si="112"/>
        <v>no</v>
      </c>
      <c r="BD200" s="135" t="b">
        <f t="shared" si="113"/>
        <v>0</v>
      </c>
      <c r="BE200" s="139" t="s">
        <v>59</v>
      </c>
      <c r="BF200" s="136"/>
    </row>
    <row r="201" spans="2:58" s="127" customFormat="1" ht="154">
      <c r="B201" s="127" t="s">
        <v>617</v>
      </c>
      <c r="D201" s="127" t="s">
        <v>618</v>
      </c>
      <c r="F201" s="182" t="s">
        <v>555</v>
      </c>
      <c r="G201" s="183" t="s">
        <v>463</v>
      </c>
      <c r="H201" s="184">
        <v>44690</v>
      </c>
      <c r="I201" s="184">
        <v>44701</v>
      </c>
      <c r="J201" s="184">
        <v>44704</v>
      </c>
      <c r="K201" s="184">
        <v>44715</v>
      </c>
      <c r="L201" s="184">
        <v>44718</v>
      </c>
      <c r="M201" s="185" t="s">
        <v>383</v>
      </c>
      <c r="N201" s="185" t="s">
        <v>383</v>
      </c>
      <c r="O201" s="185" t="s">
        <v>383</v>
      </c>
      <c r="P201" s="185" t="s">
        <v>383</v>
      </c>
      <c r="Q201" s="127" t="s">
        <v>82</v>
      </c>
      <c r="R201" s="127" t="s">
        <v>463</v>
      </c>
      <c r="S201" s="127">
        <f t="shared" si="126"/>
        <v>20</v>
      </c>
      <c r="U201" s="127">
        <v>20</v>
      </c>
      <c r="V201" s="472">
        <v>0</v>
      </c>
      <c r="Z201" s="127" t="s">
        <v>54</v>
      </c>
      <c r="AA201" s="127" t="s">
        <v>54</v>
      </c>
      <c r="AB201" s="127" t="s">
        <v>52</v>
      </c>
      <c r="AG201" s="127" t="s">
        <v>85</v>
      </c>
      <c r="AH201" s="127" t="s">
        <v>86</v>
      </c>
      <c r="AI201" s="127" t="s">
        <v>48</v>
      </c>
      <c r="AL201" s="127" t="s">
        <v>372</v>
      </c>
      <c r="AR201" s="135">
        <f>COUNTIF(B:B,B201)</f>
        <v>1</v>
      </c>
      <c r="AS201" s="135" t="str">
        <f t="shared" si="104"/>
        <v>2022_05_09_a</v>
      </c>
      <c r="AT201" s="136"/>
      <c r="AU201" s="135" t="str">
        <f t="shared" si="105"/>
        <v>2022</v>
      </c>
      <c r="AV201" s="135" t="str">
        <f t="shared" si="106"/>
        <v>05</v>
      </c>
      <c r="AW201" s="135" t="str">
        <f t="shared" si="107"/>
        <v>09</v>
      </c>
      <c r="AX201" s="135">
        <f t="shared" si="108"/>
        <v>44690</v>
      </c>
      <c r="AY201" s="137"/>
      <c r="AZ201" s="138">
        <f t="shared" si="109"/>
        <v>44690</v>
      </c>
      <c r="BA201" s="135" t="b">
        <f t="shared" si="110"/>
        <v>1</v>
      </c>
      <c r="BB201" s="135">
        <f t="shared" si="111"/>
        <v>44690</v>
      </c>
      <c r="BC201" s="135" t="str">
        <f t="shared" si="112"/>
        <v>no</v>
      </c>
      <c r="BD201" s="135" t="b">
        <f t="shared" si="113"/>
        <v>0</v>
      </c>
      <c r="BE201" s="139" t="s">
        <v>59</v>
      </c>
      <c r="BF201" s="136"/>
    </row>
    <row r="202" spans="2:58" s="127" customFormat="1" ht="154">
      <c r="B202" s="127" t="s">
        <v>619</v>
      </c>
      <c r="D202" s="127" t="s">
        <v>620</v>
      </c>
      <c r="F202" s="182" t="s">
        <v>555</v>
      </c>
      <c r="G202" s="183" t="s">
        <v>463</v>
      </c>
      <c r="H202" s="184">
        <v>44715</v>
      </c>
      <c r="I202" s="184">
        <v>44729</v>
      </c>
      <c r="J202" s="184">
        <v>44732</v>
      </c>
      <c r="K202" s="184">
        <v>44743</v>
      </c>
      <c r="L202" s="184">
        <v>44746</v>
      </c>
      <c r="M202" s="185" t="s">
        <v>383</v>
      </c>
      <c r="N202" s="185" t="s">
        <v>383</v>
      </c>
      <c r="O202" s="185" t="s">
        <v>383</v>
      </c>
      <c r="P202" s="185" t="s">
        <v>383</v>
      </c>
      <c r="Q202" s="127" t="s">
        <v>82</v>
      </c>
      <c r="R202" s="127" t="s">
        <v>621</v>
      </c>
      <c r="S202" s="127">
        <f t="shared" si="126"/>
        <v>30</v>
      </c>
      <c r="U202" s="127">
        <v>30</v>
      </c>
      <c r="V202" s="472">
        <v>0</v>
      </c>
      <c r="Z202" s="127" t="s">
        <v>54</v>
      </c>
      <c r="AA202" s="127" t="s">
        <v>54</v>
      </c>
      <c r="AB202" s="127" t="s">
        <v>52</v>
      </c>
      <c r="AG202" s="127" t="s">
        <v>85</v>
      </c>
      <c r="AH202" s="127" t="s">
        <v>86</v>
      </c>
      <c r="AI202" s="127" t="s">
        <v>48</v>
      </c>
      <c r="AL202" s="127" t="s">
        <v>57</v>
      </c>
      <c r="AR202" s="135">
        <f>COUNTIF(B:B,B202)</f>
        <v>1</v>
      </c>
      <c r="AS202" s="135" t="str">
        <f t="shared" si="104"/>
        <v>2022_06_03_a</v>
      </c>
      <c r="AT202" s="136"/>
      <c r="AU202" s="135" t="str">
        <f t="shared" si="105"/>
        <v>2022</v>
      </c>
      <c r="AV202" s="135" t="str">
        <f t="shared" si="106"/>
        <v>06</v>
      </c>
      <c r="AW202" s="135" t="str">
        <f t="shared" si="107"/>
        <v>03</v>
      </c>
      <c r="AX202" s="135">
        <f t="shared" si="108"/>
        <v>44715</v>
      </c>
      <c r="AY202" s="137"/>
      <c r="AZ202" s="138">
        <f t="shared" si="109"/>
        <v>44715</v>
      </c>
      <c r="BA202" s="135" t="b">
        <f t="shared" si="110"/>
        <v>1</v>
      </c>
      <c r="BB202" s="135">
        <f t="shared" si="111"/>
        <v>44715</v>
      </c>
      <c r="BC202" s="135" t="str">
        <f t="shared" si="112"/>
        <v>no</v>
      </c>
      <c r="BD202" s="135" t="b">
        <f t="shared" si="113"/>
        <v>0</v>
      </c>
      <c r="BE202" s="139" t="s">
        <v>59</v>
      </c>
      <c r="BF202" s="136"/>
    </row>
    <row r="203" spans="2:58" s="127" customFormat="1" ht="154">
      <c r="B203" s="127" t="s">
        <v>622</v>
      </c>
      <c r="D203" s="127">
        <v>10282354</v>
      </c>
      <c r="F203" s="182" t="s">
        <v>555</v>
      </c>
      <c r="G203" s="183" t="s">
        <v>463</v>
      </c>
      <c r="H203" s="184">
        <v>44725</v>
      </c>
      <c r="I203" s="184">
        <v>44736</v>
      </c>
      <c r="J203" s="184">
        <v>44739</v>
      </c>
      <c r="K203" s="184">
        <v>44750</v>
      </c>
      <c r="L203" s="184">
        <v>44753</v>
      </c>
      <c r="M203" s="185" t="s">
        <v>383</v>
      </c>
      <c r="N203" s="185" t="s">
        <v>383</v>
      </c>
      <c r="O203" s="185" t="s">
        <v>383</v>
      </c>
      <c r="P203" s="185" t="s">
        <v>383</v>
      </c>
      <c r="Q203" s="127" t="s">
        <v>82</v>
      </c>
      <c r="R203" s="127" t="s">
        <v>623</v>
      </c>
      <c r="S203" s="127">
        <f t="shared" si="126"/>
        <v>20</v>
      </c>
      <c r="U203" s="127">
        <v>20</v>
      </c>
      <c r="V203" s="472">
        <v>0</v>
      </c>
      <c r="Z203" s="127" t="s">
        <v>54</v>
      </c>
      <c r="AA203" s="127" t="s">
        <v>54</v>
      </c>
      <c r="AB203" s="127" t="s">
        <v>52</v>
      </c>
      <c r="AG203" s="127" t="s">
        <v>85</v>
      </c>
      <c r="AH203" s="127" t="s">
        <v>283</v>
      </c>
      <c r="AI203" s="127" t="s">
        <v>48</v>
      </c>
      <c r="AL203" s="127" t="s">
        <v>57</v>
      </c>
      <c r="AN203" s="127" t="s">
        <v>544</v>
      </c>
      <c r="AR203" s="135">
        <f>COUNTIF(B:B,B203)</f>
        <v>1</v>
      </c>
      <c r="AS203" s="135" t="str">
        <f t="shared" si="104"/>
        <v>2022_06_13_a</v>
      </c>
      <c r="AT203" s="136"/>
      <c r="AU203" s="135" t="str">
        <f t="shared" si="105"/>
        <v>2022</v>
      </c>
      <c r="AV203" s="135" t="str">
        <f t="shared" si="106"/>
        <v>06</v>
      </c>
      <c r="AW203" s="135" t="str">
        <f t="shared" si="107"/>
        <v>13</v>
      </c>
      <c r="AX203" s="135">
        <f t="shared" si="108"/>
        <v>44725</v>
      </c>
      <c r="AY203" s="137"/>
      <c r="AZ203" s="138">
        <f t="shared" si="109"/>
        <v>44725</v>
      </c>
      <c r="BA203" s="135" t="b">
        <f t="shared" si="110"/>
        <v>1</v>
      </c>
      <c r="BB203" s="135">
        <f t="shared" si="111"/>
        <v>44725</v>
      </c>
      <c r="BC203" s="135" t="str">
        <f t="shared" si="112"/>
        <v>no</v>
      </c>
      <c r="BD203" s="135" t="b">
        <f t="shared" si="113"/>
        <v>0</v>
      </c>
      <c r="BE203" s="139" t="s">
        <v>59</v>
      </c>
      <c r="BF203" s="136"/>
    </row>
    <row r="204" spans="2:58" s="127" customFormat="1" ht="154">
      <c r="B204" s="127" t="s">
        <v>624</v>
      </c>
      <c r="D204" s="127">
        <v>10289481</v>
      </c>
      <c r="F204" s="182" t="s">
        <v>555</v>
      </c>
      <c r="G204" s="183" t="s">
        <v>463</v>
      </c>
      <c r="H204" s="184">
        <v>44753</v>
      </c>
      <c r="I204" s="184">
        <v>44764</v>
      </c>
      <c r="J204" s="184">
        <v>44767</v>
      </c>
      <c r="K204" s="184">
        <v>44778</v>
      </c>
      <c r="L204" s="184">
        <v>44781</v>
      </c>
      <c r="M204" s="185" t="s">
        <v>383</v>
      </c>
      <c r="N204" s="185" t="s">
        <v>383</v>
      </c>
      <c r="O204" s="185" t="s">
        <v>383</v>
      </c>
      <c r="P204" s="185" t="s">
        <v>383</v>
      </c>
      <c r="Q204" s="127" t="s">
        <v>93</v>
      </c>
      <c r="R204" s="127" t="s">
        <v>623</v>
      </c>
      <c r="S204" s="127">
        <f t="shared" si="126"/>
        <v>26</v>
      </c>
      <c r="U204" s="127">
        <v>26</v>
      </c>
      <c r="V204" s="472">
        <v>0</v>
      </c>
      <c r="Z204" s="127" t="s">
        <v>54</v>
      </c>
      <c r="AA204" s="127" t="s">
        <v>54</v>
      </c>
      <c r="AB204" s="127" t="s">
        <v>52</v>
      </c>
      <c r="AG204" s="127" t="s">
        <v>85</v>
      </c>
      <c r="AH204" s="127" t="s">
        <v>283</v>
      </c>
      <c r="AI204" s="127" t="s">
        <v>48</v>
      </c>
      <c r="AL204" s="127" t="s">
        <v>57</v>
      </c>
      <c r="AN204" s="127" t="s">
        <v>544</v>
      </c>
      <c r="AR204" s="135">
        <f>COUNTIF(B:B,B204)</f>
        <v>1</v>
      </c>
      <c r="AS204" s="135" t="str">
        <f t="shared" si="104"/>
        <v>2022_07_11_a</v>
      </c>
      <c r="AT204" s="136"/>
      <c r="AU204" s="135" t="str">
        <f t="shared" si="105"/>
        <v>2022</v>
      </c>
      <c r="AV204" s="135" t="str">
        <f t="shared" si="106"/>
        <v>07</v>
      </c>
      <c r="AW204" s="135" t="str">
        <f t="shared" si="107"/>
        <v>11</v>
      </c>
      <c r="AX204" s="135">
        <f t="shared" si="108"/>
        <v>44753</v>
      </c>
      <c r="AY204" s="137"/>
      <c r="AZ204" s="138">
        <f t="shared" si="109"/>
        <v>44753</v>
      </c>
      <c r="BA204" s="135" t="b">
        <f t="shared" si="110"/>
        <v>1</v>
      </c>
      <c r="BB204" s="135">
        <f t="shared" si="111"/>
        <v>44753</v>
      </c>
      <c r="BC204" s="135" t="str">
        <f t="shared" si="112"/>
        <v>no</v>
      </c>
      <c r="BD204" s="135" t="b">
        <f t="shared" si="113"/>
        <v>0</v>
      </c>
      <c r="BE204" s="139" t="s">
        <v>59</v>
      </c>
      <c r="BF204" s="136"/>
    </row>
    <row r="205" spans="2:58" s="127" customFormat="1" ht="154">
      <c r="B205" s="127" t="s">
        <v>625</v>
      </c>
      <c r="D205" s="127">
        <v>10289482</v>
      </c>
      <c r="F205" s="182" t="s">
        <v>555</v>
      </c>
      <c r="G205" s="183" t="s">
        <v>463</v>
      </c>
      <c r="H205" s="184">
        <v>44753</v>
      </c>
      <c r="I205" s="184">
        <v>44764</v>
      </c>
      <c r="J205" s="184">
        <v>44767</v>
      </c>
      <c r="K205" s="184">
        <v>44778</v>
      </c>
      <c r="L205" s="184">
        <v>44781</v>
      </c>
      <c r="M205" s="185" t="s">
        <v>383</v>
      </c>
      <c r="N205" s="185" t="s">
        <v>383</v>
      </c>
      <c r="O205" s="185" t="s">
        <v>383</v>
      </c>
      <c r="P205" s="185" t="s">
        <v>383</v>
      </c>
      <c r="Q205" s="127" t="s">
        <v>93</v>
      </c>
      <c r="R205" s="127" t="s">
        <v>626</v>
      </c>
      <c r="S205" s="127">
        <f t="shared" si="126"/>
        <v>20</v>
      </c>
      <c r="U205" s="127">
        <v>20</v>
      </c>
      <c r="V205" s="472">
        <v>0</v>
      </c>
      <c r="Z205" s="127" t="s">
        <v>54</v>
      </c>
      <c r="AA205" s="127" t="s">
        <v>54</v>
      </c>
      <c r="AB205" s="127" t="s">
        <v>52</v>
      </c>
      <c r="AG205" s="127" t="s">
        <v>85</v>
      </c>
      <c r="AH205" s="127" t="s">
        <v>283</v>
      </c>
      <c r="AI205" s="127" t="s">
        <v>48</v>
      </c>
      <c r="AL205" s="127" t="s">
        <v>57</v>
      </c>
      <c r="AN205" s="127" t="s">
        <v>627</v>
      </c>
      <c r="AR205" s="135">
        <f>COUNTIF(B:B,B205)</f>
        <v>1</v>
      </c>
      <c r="AS205" s="135" t="str">
        <f t="shared" si="104"/>
        <v>2022_07_11_b</v>
      </c>
      <c r="AT205" s="136"/>
      <c r="AU205" s="135" t="str">
        <f t="shared" si="105"/>
        <v>2022</v>
      </c>
      <c r="AV205" s="135" t="str">
        <f t="shared" si="106"/>
        <v>07</v>
      </c>
      <c r="AW205" s="135" t="str">
        <f t="shared" si="107"/>
        <v>11</v>
      </c>
      <c r="AX205" s="135">
        <f t="shared" si="108"/>
        <v>44753</v>
      </c>
      <c r="AY205" s="137"/>
      <c r="AZ205" s="138">
        <f t="shared" si="109"/>
        <v>44753</v>
      </c>
      <c r="BA205" s="135" t="b">
        <f t="shared" si="110"/>
        <v>1</v>
      </c>
      <c r="BB205" s="135">
        <f t="shared" si="111"/>
        <v>44753</v>
      </c>
      <c r="BC205" s="135" t="str">
        <f t="shared" si="112"/>
        <v>no</v>
      </c>
      <c r="BD205" s="135" t="b">
        <f t="shared" si="113"/>
        <v>0</v>
      </c>
      <c r="BE205" s="139" t="s">
        <v>59</v>
      </c>
      <c r="BF205" s="136"/>
    </row>
    <row r="206" spans="2:58" s="127" customFormat="1" ht="154">
      <c r="B206" s="127" t="s">
        <v>628</v>
      </c>
      <c r="D206" s="127">
        <v>10295391</v>
      </c>
      <c r="F206" s="182" t="s">
        <v>555</v>
      </c>
      <c r="G206" s="183" t="s">
        <v>463</v>
      </c>
      <c r="H206" s="184">
        <v>44781</v>
      </c>
      <c r="I206" s="184">
        <v>44792</v>
      </c>
      <c r="J206" s="184">
        <v>44795</v>
      </c>
      <c r="K206" s="184">
        <v>44806</v>
      </c>
      <c r="L206" s="184">
        <v>44809</v>
      </c>
      <c r="M206" s="185" t="s">
        <v>383</v>
      </c>
      <c r="N206" s="185" t="s">
        <v>383</v>
      </c>
      <c r="O206" s="185" t="s">
        <v>383</v>
      </c>
      <c r="P206" s="185" t="s">
        <v>383</v>
      </c>
      <c r="Q206" s="127" t="s">
        <v>93</v>
      </c>
      <c r="R206" s="127" t="s">
        <v>629</v>
      </c>
      <c r="S206" s="127">
        <f t="shared" si="126"/>
        <v>35</v>
      </c>
      <c r="U206" s="127">
        <v>35</v>
      </c>
      <c r="V206" s="472">
        <v>0</v>
      </c>
      <c r="Z206" s="127" t="s">
        <v>54</v>
      </c>
      <c r="AA206" s="127" t="s">
        <v>54</v>
      </c>
      <c r="AB206" s="127" t="s">
        <v>52</v>
      </c>
      <c r="AG206" s="127" t="s">
        <v>85</v>
      </c>
      <c r="AH206" s="127" t="s">
        <v>283</v>
      </c>
      <c r="AI206" s="127" t="s">
        <v>48</v>
      </c>
      <c r="AL206" s="127" t="s">
        <v>57</v>
      </c>
      <c r="AN206" s="127" t="s">
        <v>627</v>
      </c>
      <c r="AR206" s="135">
        <f>COUNTIF(B:B,B206)</f>
        <v>1</v>
      </c>
      <c r="AS206" s="135" t="str">
        <f t="shared" si="104"/>
        <v>2022_08_08_a</v>
      </c>
      <c r="AT206" s="136"/>
      <c r="AU206" s="135" t="str">
        <f t="shared" si="105"/>
        <v>2022</v>
      </c>
      <c r="AV206" s="135" t="str">
        <f t="shared" si="106"/>
        <v>08</v>
      </c>
      <c r="AW206" s="135" t="str">
        <f t="shared" si="107"/>
        <v>08</v>
      </c>
      <c r="AX206" s="135">
        <f t="shared" si="108"/>
        <v>44781</v>
      </c>
      <c r="AY206" s="137"/>
      <c r="AZ206" s="138">
        <f t="shared" si="109"/>
        <v>44781</v>
      </c>
      <c r="BA206" s="135" t="b">
        <f t="shared" si="110"/>
        <v>1</v>
      </c>
      <c r="BB206" s="135">
        <f t="shared" si="111"/>
        <v>44781</v>
      </c>
      <c r="BC206" s="135" t="str">
        <f t="shared" si="112"/>
        <v>no</v>
      </c>
      <c r="BD206" s="135" t="b">
        <f t="shared" si="113"/>
        <v>0</v>
      </c>
      <c r="BE206" s="139" t="s">
        <v>59</v>
      </c>
      <c r="BF206" s="136"/>
    </row>
    <row r="207" spans="2:58" s="127" customFormat="1" ht="154">
      <c r="B207" s="127" t="s">
        <v>630</v>
      </c>
      <c r="D207" s="127">
        <v>10301832</v>
      </c>
      <c r="F207" s="182" t="s">
        <v>555</v>
      </c>
      <c r="G207" s="183" t="s">
        <v>463</v>
      </c>
      <c r="H207" s="184">
        <v>44809</v>
      </c>
      <c r="I207" s="184">
        <v>44820</v>
      </c>
      <c r="J207" s="184">
        <v>44823</v>
      </c>
      <c r="K207" s="184">
        <v>44834</v>
      </c>
      <c r="L207" s="184">
        <v>44837</v>
      </c>
      <c r="M207" s="185" t="s">
        <v>383</v>
      </c>
      <c r="N207" s="185" t="s">
        <v>383</v>
      </c>
      <c r="O207" s="185" t="s">
        <v>383</v>
      </c>
      <c r="P207" s="185" t="s">
        <v>383</v>
      </c>
      <c r="Q207" s="127" t="s">
        <v>93</v>
      </c>
      <c r="R207" s="127" t="s">
        <v>631</v>
      </c>
      <c r="S207" s="127">
        <f t="shared" si="126"/>
        <v>29</v>
      </c>
      <c r="U207" s="127">
        <v>29</v>
      </c>
      <c r="V207" s="472">
        <v>0</v>
      </c>
      <c r="Z207" s="127" t="s">
        <v>54</v>
      </c>
      <c r="AA207" s="127" t="s">
        <v>54</v>
      </c>
      <c r="AB207" s="127" t="s">
        <v>52</v>
      </c>
      <c r="AG207" s="127" t="s">
        <v>85</v>
      </c>
      <c r="AH207" s="127" t="s">
        <v>283</v>
      </c>
      <c r="AI207" s="127" t="s">
        <v>48</v>
      </c>
      <c r="AL207" s="127" t="s">
        <v>57</v>
      </c>
      <c r="AN207" s="127" t="s">
        <v>544</v>
      </c>
      <c r="AR207" s="135">
        <f>COUNTIF(B:B,B207)</f>
        <v>1</v>
      </c>
      <c r="AS207" s="135" t="str">
        <f t="shared" si="104"/>
        <v>2022_09_05_a</v>
      </c>
      <c r="AT207" s="136"/>
      <c r="AU207" s="135" t="str">
        <f t="shared" si="105"/>
        <v>2022</v>
      </c>
      <c r="AV207" s="135" t="str">
        <f t="shared" si="106"/>
        <v>09</v>
      </c>
      <c r="AW207" s="135" t="str">
        <f t="shared" si="107"/>
        <v>05</v>
      </c>
      <c r="AX207" s="135">
        <f t="shared" si="108"/>
        <v>44809</v>
      </c>
      <c r="AY207" s="137"/>
      <c r="AZ207" s="138">
        <f t="shared" si="109"/>
        <v>44809</v>
      </c>
      <c r="BA207" s="135" t="b">
        <f t="shared" si="110"/>
        <v>1</v>
      </c>
      <c r="BB207" s="135">
        <f t="shared" si="111"/>
        <v>44809</v>
      </c>
      <c r="BC207" s="135" t="str">
        <f t="shared" si="112"/>
        <v>no</v>
      </c>
      <c r="BD207" s="135" t="b">
        <f t="shared" si="113"/>
        <v>0</v>
      </c>
      <c r="BE207" s="139" t="s">
        <v>59</v>
      </c>
      <c r="BF207" s="136"/>
    </row>
    <row r="208" spans="2:58" s="127" customFormat="1" ht="154">
      <c r="B208" s="127" t="s">
        <v>632</v>
      </c>
      <c r="D208" s="127">
        <v>10301739</v>
      </c>
      <c r="F208" s="182" t="s">
        <v>555</v>
      </c>
      <c r="G208" s="183" t="s">
        <v>463</v>
      </c>
      <c r="H208" s="184">
        <v>44809</v>
      </c>
      <c r="I208" s="184">
        <v>44820</v>
      </c>
      <c r="J208" s="184">
        <v>44823</v>
      </c>
      <c r="K208" s="184">
        <v>44834</v>
      </c>
      <c r="L208" s="184">
        <v>44837</v>
      </c>
      <c r="M208" s="185" t="s">
        <v>383</v>
      </c>
      <c r="N208" s="185" t="s">
        <v>383</v>
      </c>
      <c r="O208" s="185" t="s">
        <v>383</v>
      </c>
      <c r="P208" s="185" t="s">
        <v>383</v>
      </c>
      <c r="Q208" s="127" t="s">
        <v>93</v>
      </c>
      <c r="R208" s="127" t="s">
        <v>633</v>
      </c>
      <c r="S208" s="127">
        <f t="shared" si="126"/>
        <v>25</v>
      </c>
      <c r="U208" s="127">
        <v>25</v>
      </c>
      <c r="V208" s="472">
        <v>0</v>
      </c>
      <c r="Z208" s="127" t="s">
        <v>54</v>
      </c>
      <c r="AA208" s="127" t="s">
        <v>54</v>
      </c>
      <c r="AB208" s="127" t="s">
        <v>52</v>
      </c>
      <c r="AG208" s="127" t="s">
        <v>85</v>
      </c>
      <c r="AH208" s="127" t="s">
        <v>283</v>
      </c>
      <c r="AI208" s="127" t="s">
        <v>48</v>
      </c>
      <c r="AL208" s="127" t="s">
        <v>57</v>
      </c>
      <c r="AN208" s="127" t="s">
        <v>544</v>
      </c>
      <c r="AR208" s="135">
        <f>COUNTIF(B:B,B208)</f>
        <v>1</v>
      </c>
      <c r="AS208" s="135" t="str">
        <f t="shared" si="104"/>
        <v>2022_09_05_b</v>
      </c>
      <c r="AT208" s="136"/>
      <c r="AU208" s="135" t="str">
        <f t="shared" si="105"/>
        <v>2022</v>
      </c>
      <c r="AV208" s="135" t="str">
        <f t="shared" si="106"/>
        <v>09</v>
      </c>
      <c r="AW208" s="135" t="str">
        <f t="shared" si="107"/>
        <v>05</v>
      </c>
      <c r="AX208" s="135">
        <f t="shared" si="108"/>
        <v>44809</v>
      </c>
      <c r="AY208" s="137"/>
      <c r="AZ208" s="138">
        <f t="shared" si="109"/>
        <v>44809</v>
      </c>
      <c r="BA208" s="135" t="b">
        <f t="shared" si="110"/>
        <v>1</v>
      </c>
      <c r="BB208" s="135">
        <f t="shared" si="111"/>
        <v>44809</v>
      </c>
      <c r="BC208" s="135" t="str">
        <f t="shared" si="112"/>
        <v>no</v>
      </c>
      <c r="BD208" s="135" t="b">
        <f t="shared" si="113"/>
        <v>0</v>
      </c>
      <c r="BE208" s="139" t="s">
        <v>59</v>
      </c>
      <c r="BF208" s="136"/>
    </row>
    <row r="209" spans="1:58" s="127" customFormat="1" ht="154">
      <c r="B209" s="127" t="s">
        <v>634</v>
      </c>
      <c r="D209" s="127">
        <v>10301819</v>
      </c>
      <c r="F209" s="182" t="s">
        <v>555</v>
      </c>
      <c r="G209" s="183" t="s">
        <v>463</v>
      </c>
      <c r="H209" s="184">
        <v>44809</v>
      </c>
      <c r="I209" s="184">
        <v>44820</v>
      </c>
      <c r="J209" s="184">
        <v>44823</v>
      </c>
      <c r="K209" s="184">
        <v>44834</v>
      </c>
      <c r="L209" s="184">
        <v>44837</v>
      </c>
      <c r="M209" s="185" t="s">
        <v>383</v>
      </c>
      <c r="N209" s="185" t="s">
        <v>383</v>
      </c>
      <c r="O209" s="185" t="s">
        <v>383</v>
      </c>
      <c r="P209" s="185" t="s">
        <v>383</v>
      </c>
      <c r="Q209" s="127" t="s">
        <v>93</v>
      </c>
      <c r="R209" s="127" t="s">
        <v>635</v>
      </c>
      <c r="S209" s="127">
        <f t="shared" si="126"/>
        <v>15</v>
      </c>
      <c r="U209" s="127">
        <v>15</v>
      </c>
      <c r="V209" s="472">
        <v>0</v>
      </c>
      <c r="Z209" s="127" t="s">
        <v>54</v>
      </c>
      <c r="AA209" s="127" t="s">
        <v>54</v>
      </c>
      <c r="AB209" s="127" t="s">
        <v>52</v>
      </c>
      <c r="AG209" s="127" t="s">
        <v>85</v>
      </c>
      <c r="AH209" s="127" t="s">
        <v>283</v>
      </c>
      <c r="AI209" s="127" t="s">
        <v>48</v>
      </c>
      <c r="AL209" s="127" t="s">
        <v>57</v>
      </c>
      <c r="AN209" s="127" t="s">
        <v>544</v>
      </c>
      <c r="AR209" s="135">
        <f>COUNTIF(B:B,B209)</f>
        <v>1</v>
      </c>
      <c r="AS209" s="135" t="str">
        <f t="shared" ref="AS209:AS274" si="127">IFERROR(RIGHT(B209,16-SEARCH("_", B209)),0)</f>
        <v>2022_09_05_c</v>
      </c>
      <c r="AT209" s="136"/>
      <c r="AU209" s="135" t="str">
        <f t="shared" ref="AU209:AU274" si="128">LEFT(AS209,4)</f>
        <v>2022</v>
      </c>
      <c r="AV209" s="135" t="str">
        <f t="shared" ref="AV209:AV274" si="129">MID(AS209,6,2)</f>
        <v>09</v>
      </c>
      <c r="AW209" s="135" t="str">
        <f t="shared" ref="AW209:AW274" si="130">MID(AS209,9,2)</f>
        <v>05</v>
      </c>
      <c r="AX209" s="135">
        <f t="shared" ref="AX209:AX274" si="131">IFERROR(DATE(AU209,AV209,AW209)," ")</f>
        <v>44809</v>
      </c>
      <c r="AY209" s="137"/>
      <c r="AZ209" s="138">
        <f t="shared" ref="AZ209:AZ274" si="132">H209</f>
        <v>44809</v>
      </c>
      <c r="BA209" s="135" t="b">
        <f t="shared" ref="BA209:BA274" si="133">IF(AX209=" "," ",AX209=AZ209)</f>
        <v>1</v>
      </c>
      <c r="BB209" s="135">
        <f t="shared" ref="BB209:BB274" si="134">IF(BC209="YES"," ",AZ209)</f>
        <v>44809</v>
      </c>
      <c r="BC209" s="135" t="str">
        <f t="shared" ref="BC209:BC274" si="135">IF(AM209="Apprentice","yes","no")</f>
        <v>no</v>
      </c>
      <c r="BD209" s="135" t="b">
        <f t="shared" ref="BD209:BD274" si="136">IF(OR(U209&lt;&gt;"0", V209&lt;&gt;"0"),U209=V209," ")</f>
        <v>0</v>
      </c>
      <c r="BE209" s="139" t="s">
        <v>59</v>
      </c>
      <c r="BF209" s="136"/>
    </row>
    <row r="210" spans="1:58" s="127" customFormat="1" ht="154">
      <c r="B210" s="127" t="s">
        <v>636</v>
      </c>
      <c r="D210" s="127">
        <v>10305603</v>
      </c>
      <c r="F210" s="182" t="s">
        <v>555</v>
      </c>
      <c r="G210" s="183" t="s">
        <v>463</v>
      </c>
      <c r="H210" s="184">
        <v>44823</v>
      </c>
      <c r="I210" s="184">
        <v>44834</v>
      </c>
      <c r="J210" s="184">
        <v>44837</v>
      </c>
      <c r="K210" s="184">
        <v>44848</v>
      </c>
      <c r="L210" s="184">
        <v>44851</v>
      </c>
      <c r="M210" s="185" t="s">
        <v>383</v>
      </c>
      <c r="N210" s="185" t="s">
        <v>383</v>
      </c>
      <c r="O210" s="185" t="s">
        <v>383</v>
      </c>
      <c r="P210" s="185" t="s">
        <v>383</v>
      </c>
      <c r="Q210" s="127" t="s">
        <v>93</v>
      </c>
      <c r="R210" s="127" t="s">
        <v>637</v>
      </c>
      <c r="S210" s="127">
        <f t="shared" si="126"/>
        <v>21</v>
      </c>
      <c r="U210" s="127">
        <v>21</v>
      </c>
      <c r="V210" s="472">
        <v>0</v>
      </c>
      <c r="Z210" s="127" t="s">
        <v>54</v>
      </c>
      <c r="AA210" s="127" t="s">
        <v>54</v>
      </c>
      <c r="AB210" s="127" t="s">
        <v>52</v>
      </c>
      <c r="AG210" s="127" t="s">
        <v>85</v>
      </c>
      <c r="AH210" s="127" t="s">
        <v>283</v>
      </c>
      <c r="AI210" s="127" t="s">
        <v>48</v>
      </c>
      <c r="AL210" s="127" t="s">
        <v>57</v>
      </c>
      <c r="AN210" s="127" t="s">
        <v>544</v>
      </c>
      <c r="AR210" s="135">
        <f>COUNTIF(B:B,B210)</f>
        <v>1</v>
      </c>
      <c r="AS210" s="135" t="str">
        <f t="shared" si="127"/>
        <v>2022_09_19_a</v>
      </c>
      <c r="AT210" s="136"/>
      <c r="AU210" s="135" t="str">
        <f t="shared" si="128"/>
        <v>2022</v>
      </c>
      <c r="AV210" s="135" t="str">
        <f t="shared" si="129"/>
        <v>09</v>
      </c>
      <c r="AW210" s="135" t="str">
        <f t="shared" si="130"/>
        <v>19</v>
      </c>
      <c r="AX210" s="135">
        <f t="shared" si="131"/>
        <v>44823</v>
      </c>
      <c r="AY210" s="137"/>
      <c r="AZ210" s="138">
        <f t="shared" si="132"/>
        <v>44823</v>
      </c>
      <c r="BA210" s="135" t="b">
        <f t="shared" si="133"/>
        <v>1</v>
      </c>
      <c r="BB210" s="135">
        <f t="shared" si="134"/>
        <v>44823</v>
      </c>
      <c r="BC210" s="135" t="str">
        <f t="shared" si="135"/>
        <v>no</v>
      </c>
      <c r="BD210" s="135" t="b">
        <f t="shared" si="136"/>
        <v>0</v>
      </c>
      <c r="BE210" s="139" t="s">
        <v>59</v>
      </c>
      <c r="BF210" s="136"/>
    </row>
    <row r="211" spans="1:58" s="127" customFormat="1" ht="154">
      <c r="B211" s="127" t="s">
        <v>638</v>
      </c>
      <c r="D211" s="127">
        <v>10311476</v>
      </c>
      <c r="F211" s="182" t="s">
        <v>555</v>
      </c>
      <c r="G211" s="183" t="s">
        <v>463</v>
      </c>
      <c r="H211" s="184">
        <v>44844</v>
      </c>
      <c r="I211" s="184">
        <v>44855</v>
      </c>
      <c r="J211" s="184">
        <v>44858</v>
      </c>
      <c r="K211" s="184">
        <v>44869</v>
      </c>
      <c r="L211" s="184">
        <v>44872</v>
      </c>
      <c r="M211" s="185" t="s">
        <v>383</v>
      </c>
      <c r="N211" s="185" t="s">
        <v>383</v>
      </c>
      <c r="O211" s="185" t="s">
        <v>383</v>
      </c>
      <c r="P211" s="185" t="s">
        <v>383</v>
      </c>
      <c r="Q211" s="127" t="s">
        <v>106</v>
      </c>
      <c r="R211" s="127" t="s">
        <v>639</v>
      </c>
      <c r="S211" s="127">
        <f t="shared" si="126"/>
        <v>30</v>
      </c>
      <c r="U211" s="127">
        <v>30</v>
      </c>
      <c r="V211" s="472">
        <v>0</v>
      </c>
      <c r="Z211" s="127" t="s">
        <v>54</v>
      </c>
      <c r="AA211" s="127" t="s">
        <v>54</v>
      </c>
      <c r="AB211" s="127" t="s">
        <v>52</v>
      </c>
      <c r="AG211" s="127" t="s">
        <v>85</v>
      </c>
      <c r="AH211" s="127" t="s">
        <v>283</v>
      </c>
      <c r="AI211" s="127" t="s">
        <v>48</v>
      </c>
      <c r="AL211" s="127" t="s">
        <v>57</v>
      </c>
      <c r="AN211" s="127" t="s">
        <v>544</v>
      </c>
      <c r="AR211" s="135">
        <f>COUNTIF(B:B,B211)</f>
        <v>1</v>
      </c>
      <c r="AS211" s="135" t="str">
        <f t="shared" si="127"/>
        <v>2022_10_10_a</v>
      </c>
      <c r="AT211" s="136"/>
      <c r="AU211" s="135" t="str">
        <f t="shared" si="128"/>
        <v>2022</v>
      </c>
      <c r="AV211" s="135" t="str">
        <f t="shared" si="129"/>
        <v>10</v>
      </c>
      <c r="AW211" s="135" t="str">
        <f t="shared" si="130"/>
        <v>10</v>
      </c>
      <c r="AX211" s="135">
        <f t="shared" si="131"/>
        <v>44844</v>
      </c>
      <c r="AY211" s="137"/>
      <c r="AZ211" s="138">
        <f t="shared" si="132"/>
        <v>44844</v>
      </c>
      <c r="BA211" s="135" t="b">
        <f t="shared" si="133"/>
        <v>1</v>
      </c>
      <c r="BB211" s="135">
        <f t="shared" si="134"/>
        <v>44844</v>
      </c>
      <c r="BC211" s="135" t="str">
        <f t="shared" si="135"/>
        <v>no</v>
      </c>
      <c r="BD211" s="135" t="b">
        <f t="shared" si="136"/>
        <v>0</v>
      </c>
      <c r="BE211" s="139" t="s">
        <v>59</v>
      </c>
      <c r="BF211" s="136"/>
    </row>
    <row r="212" spans="1:58" s="127" customFormat="1" ht="154">
      <c r="B212" s="127" t="s">
        <v>640</v>
      </c>
      <c r="D212" s="127">
        <v>10311462</v>
      </c>
      <c r="F212" s="182" t="s">
        <v>555</v>
      </c>
      <c r="G212" s="183" t="s">
        <v>463</v>
      </c>
      <c r="H212" s="184">
        <v>44844</v>
      </c>
      <c r="I212" s="184">
        <v>44855</v>
      </c>
      <c r="J212" s="184">
        <v>44858</v>
      </c>
      <c r="K212" s="184">
        <v>44869</v>
      </c>
      <c r="L212" s="184">
        <v>44872</v>
      </c>
      <c r="M212" s="185" t="s">
        <v>383</v>
      </c>
      <c r="N212" s="185" t="s">
        <v>383</v>
      </c>
      <c r="O212" s="185" t="s">
        <v>383</v>
      </c>
      <c r="P212" s="185" t="s">
        <v>383</v>
      </c>
      <c r="Q212" s="127" t="s">
        <v>106</v>
      </c>
      <c r="R212" s="127" t="s">
        <v>641</v>
      </c>
      <c r="S212" s="127">
        <f t="shared" si="126"/>
        <v>28</v>
      </c>
      <c r="U212" s="127">
        <v>28</v>
      </c>
      <c r="V212" s="472">
        <v>0</v>
      </c>
      <c r="Z212" s="127" t="s">
        <v>54</v>
      </c>
      <c r="AA212" s="127" t="s">
        <v>54</v>
      </c>
      <c r="AB212" s="127" t="s">
        <v>52</v>
      </c>
      <c r="AG212" s="127" t="s">
        <v>85</v>
      </c>
      <c r="AH212" s="127" t="s">
        <v>283</v>
      </c>
      <c r="AI212" s="127" t="s">
        <v>48</v>
      </c>
      <c r="AL212" s="127" t="s">
        <v>57</v>
      </c>
      <c r="AN212" s="127" t="s">
        <v>544</v>
      </c>
      <c r="AR212" s="135">
        <f>COUNTIF(B:B,B212)</f>
        <v>1</v>
      </c>
      <c r="AS212" s="135" t="str">
        <f t="shared" si="127"/>
        <v>2022_10_10_b</v>
      </c>
      <c r="AT212" s="136"/>
      <c r="AU212" s="135" t="str">
        <f t="shared" si="128"/>
        <v>2022</v>
      </c>
      <c r="AV212" s="135" t="str">
        <f t="shared" si="129"/>
        <v>10</v>
      </c>
      <c r="AW212" s="135" t="str">
        <f t="shared" si="130"/>
        <v>10</v>
      </c>
      <c r="AX212" s="135">
        <f t="shared" si="131"/>
        <v>44844</v>
      </c>
      <c r="AY212" s="137"/>
      <c r="AZ212" s="138">
        <f t="shared" si="132"/>
        <v>44844</v>
      </c>
      <c r="BA212" s="135" t="b">
        <f t="shared" si="133"/>
        <v>1</v>
      </c>
      <c r="BB212" s="135">
        <f t="shared" si="134"/>
        <v>44844</v>
      </c>
      <c r="BC212" s="135" t="str">
        <f t="shared" si="135"/>
        <v>no</v>
      </c>
      <c r="BD212" s="135" t="b">
        <f t="shared" si="136"/>
        <v>0</v>
      </c>
      <c r="BE212" s="139" t="s">
        <v>59</v>
      </c>
      <c r="BF212" s="136"/>
    </row>
    <row r="213" spans="1:58" s="127" customFormat="1" ht="154">
      <c r="B213" s="127" t="s">
        <v>642</v>
      </c>
      <c r="D213" s="127">
        <v>10318152</v>
      </c>
      <c r="F213" s="182" t="s">
        <v>555</v>
      </c>
      <c r="G213" s="183" t="s">
        <v>463</v>
      </c>
      <c r="H213" s="184">
        <v>44872</v>
      </c>
      <c r="I213" s="184">
        <v>44883</v>
      </c>
      <c r="J213" s="184">
        <v>44886</v>
      </c>
      <c r="K213" s="184">
        <v>44897</v>
      </c>
      <c r="L213" s="184">
        <v>44900</v>
      </c>
      <c r="M213" s="185" t="s">
        <v>383</v>
      </c>
      <c r="N213" s="185" t="s">
        <v>383</v>
      </c>
      <c r="O213" s="185" t="s">
        <v>383</v>
      </c>
      <c r="P213" s="185" t="s">
        <v>383</v>
      </c>
      <c r="Q213" s="127" t="s">
        <v>106</v>
      </c>
      <c r="R213" s="127" t="s">
        <v>643</v>
      </c>
      <c r="S213" s="127">
        <f t="shared" si="126"/>
        <v>30</v>
      </c>
      <c r="U213" s="127">
        <v>30</v>
      </c>
      <c r="V213" s="472">
        <v>0</v>
      </c>
      <c r="Z213" s="127" t="s">
        <v>54</v>
      </c>
      <c r="AA213" s="127" t="s">
        <v>54</v>
      </c>
      <c r="AB213" s="127" t="s">
        <v>53</v>
      </c>
      <c r="AG213" s="127" t="s">
        <v>85</v>
      </c>
      <c r="AH213" s="127" t="s">
        <v>283</v>
      </c>
      <c r="AI213" s="127" t="s">
        <v>48</v>
      </c>
      <c r="AL213" s="127" t="s">
        <v>57</v>
      </c>
      <c r="AN213" s="127" t="s">
        <v>544</v>
      </c>
      <c r="AR213" s="135">
        <f>COUNTIF(B:B,B213)</f>
        <v>1</v>
      </c>
      <c r="AS213" s="135" t="str">
        <f t="shared" si="127"/>
        <v>2022_11_07_a</v>
      </c>
      <c r="AT213" s="136"/>
      <c r="AU213" s="135" t="str">
        <f t="shared" si="128"/>
        <v>2022</v>
      </c>
      <c r="AV213" s="135" t="str">
        <f t="shared" si="129"/>
        <v>11</v>
      </c>
      <c r="AW213" s="135" t="str">
        <f t="shared" si="130"/>
        <v>07</v>
      </c>
      <c r="AX213" s="135">
        <f t="shared" si="131"/>
        <v>44872</v>
      </c>
      <c r="AY213" s="137"/>
      <c r="AZ213" s="138">
        <f t="shared" si="132"/>
        <v>44872</v>
      </c>
      <c r="BA213" s="135" t="b">
        <f t="shared" si="133"/>
        <v>1</v>
      </c>
      <c r="BB213" s="135">
        <f t="shared" si="134"/>
        <v>44872</v>
      </c>
      <c r="BC213" s="135" t="str">
        <f t="shared" si="135"/>
        <v>no</v>
      </c>
      <c r="BD213" s="135" t="b">
        <f t="shared" si="136"/>
        <v>0</v>
      </c>
      <c r="BE213" s="139" t="s">
        <v>59</v>
      </c>
      <c r="BF213" s="136"/>
    </row>
    <row r="214" spans="1:58" s="127" customFormat="1" ht="154">
      <c r="B214" s="127" t="s">
        <v>644</v>
      </c>
      <c r="D214" s="127" t="s">
        <v>645</v>
      </c>
      <c r="F214" s="402" t="s">
        <v>555</v>
      </c>
      <c r="G214" s="403" t="s">
        <v>463</v>
      </c>
      <c r="H214" s="395">
        <v>44872</v>
      </c>
      <c r="I214" s="395">
        <v>44883</v>
      </c>
      <c r="J214" s="395">
        <v>44886</v>
      </c>
      <c r="K214" s="395">
        <v>44897</v>
      </c>
      <c r="L214" s="395">
        <v>44900</v>
      </c>
      <c r="M214" s="396" t="s">
        <v>383</v>
      </c>
      <c r="N214" s="396" t="s">
        <v>383</v>
      </c>
      <c r="O214" s="396" t="s">
        <v>383</v>
      </c>
      <c r="P214" s="396" t="s">
        <v>383</v>
      </c>
      <c r="Q214" s="397" t="s">
        <v>106</v>
      </c>
      <c r="R214" s="397" t="s">
        <v>646</v>
      </c>
      <c r="S214" s="127">
        <f t="shared" si="126"/>
        <v>26</v>
      </c>
      <c r="U214" s="127">
        <v>26</v>
      </c>
      <c r="V214" s="472">
        <v>0</v>
      </c>
      <c r="Z214" s="127" t="s">
        <v>54</v>
      </c>
      <c r="AA214" s="127" t="s">
        <v>54</v>
      </c>
      <c r="AB214" s="127" t="s">
        <v>53</v>
      </c>
      <c r="AG214" s="127" t="s">
        <v>85</v>
      </c>
      <c r="AH214" s="127" t="s">
        <v>283</v>
      </c>
      <c r="AI214" s="127" t="s">
        <v>48</v>
      </c>
      <c r="AL214" s="127" t="s">
        <v>57</v>
      </c>
      <c r="AN214" s="127" t="s">
        <v>544</v>
      </c>
      <c r="AR214" s="135">
        <f>COUNTIF(B:B,B214)</f>
        <v>1</v>
      </c>
      <c r="AS214" s="135" t="str">
        <f t="shared" si="127"/>
        <v>2022_11_07_b</v>
      </c>
      <c r="AT214" s="136"/>
      <c r="AU214" s="135" t="str">
        <f t="shared" si="128"/>
        <v>2022</v>
      </c>
      <c r="AV214" s="135" t="str">
        <f t="shared" si="129"/>
        <v>11</v>
      </c>
      <c r="AW214" s="135" t="str">
        <f t="shared" si="130"/>
        <v>07</v>
      </c>
      <c r="AX214" s="135">
        <f t="shared" si="131"/>
        <v>44872</v>
      </c>
      <c r="AY214" s="137"/>
      <c r="AZ214" s="138">
        <f t="shared" si="132"/>
        <v>44872</v>
      </c>
      <c r="BA214" s="135" t="b">
        <f t="shared" si="133"/>
        <v>1</v>
      </c>
      <c r="BB214" s="135">
        <f t="shared" si="134"/>
        <v>44872</v>
      </c>
      <c r="BC214" s="135" t="str">
        <f t="shared" si="135"/>
        <v>no</v>
      </c>
      <c r="BD214" s="135" t="b">
        <f t="shared" si="136"/>
        <v>0</v>
      </c>
      <c r="BE214" s="139" t="s">
        <v>59</v>
      </c>
      <c r="BF214" s="136"/>
    </row>
    <row r="215" spans="1:58" s="127" customFormat="1" ht="154">
      <c r="B215" s="127" t="s">
        <v>647</v>
      </c>
      <c r="E215" s="400"/>
      <c r="F215" s="398" t="s">
        <v>555</v>
      </c>
      <c r="G215" s="399" t="s">
        <v>463</v>
      </c>
      <c r="H215" s="392">
        <v>44963</v>
      </c>
      <c r="I215" s="392">
        <v>44974</v>
      </c>
      <c r="J215" s="392">
        <v>44977</v>
      </c>
      <c r="K215" s="401">
        <v>44988</v>
      </c>
      <c r="L215" s="392">
        <v>44991</v>
      </c>
      <c r="M215" s="393" t="s">
        <v>383</v>
      </c>
      <c r="N215" s="393" t="s">
        <v>383</v>
      </c>
      <c r="O215" s="393" t="s">
        <v>383</v>
      </c>
      <c r="P215" s="393" t="s">
        <v>383</v>
      </c>
      <c r="Q215" s="394" t="s">
        <v>49</v>
      </c>
      <c r="R215" s="394" t="s">
        <v>648</v>
      </c>
      <c r="S215" s="127">
        <f t="shared" si="126"/>
        <v>20</v>
      </c>
      <c r="U215" s="127">
        <v>20</v>
      </c>
      <c r="V215" s="472">
        <v>0</v>
      </c>
      <c r="AA215" s="127" t="s">
        <v>53</v>
      </c>
      <c r="AB215" s="127" t="s">
        <v>53</v>
      </c>
      <c r="AG215" s="127" t="s">
        <v>85</v>
      </c>
      <c r="AH215" s="127" t="s">
        <v>283</v>
      </c>
      <c r="AI215" s="127" t="s">
        <v>48</v>
      </c>
      <c r="AL215" s="127" t="s">
        <v>57</v>
      </c>
      <c r="AN215" s="127" t="s">
        <v>544</v>
      </c>
      <c r="AR215" s="135">
        <f>COUNTIF(B:B,B215)</f>
        <v>1</v>
      </c>
      <c r="AS215" s="135" t="str">
        <f t="shared" si="127"/>
        <v>2023_02_06_a</v>
      </c>
      <c r="AT215" s="136"/>
      <c r="AU215" s="135" t="str">
        <f t="shared" si="128"/>
        <v>2023</v>
      </c>
      <c r="AV215" s="135" t="str">
        <f t="shared" si="129"/>
        <v>02</v>
      </c>
      <c r="AW215" s="135" t="str">
        <f t="shared" si="130"/>
        <v>06</v>
      </c>
      <c r="AX215" s="135">
        <f t="shared" si="131"/>
        <v>44963</v>
      </c>
      <c r="AY215" s="137"/>
      <c r="AZ215" s="138">
        <f t="shared" si="132"/>
        <v>44963</v>
      </c>
      <c r="BA215" s="135" t="b">
        <f t="shared" si="133"/>
        <v>1</v>
      </c>
      <c r="BB215" s="135">
        <f t="shared" si="134"/>
        <v>44963</v>
      </c>
      <c r="BC215" s="135" t="str">
        <f t="shared" si="135"/>
        <v>no</v>
      </c>
      <c r="BD215" s="135" t="b">
        <f t="shared" si="136"/>
        <v>0</v>
      </c>
      <c r="BE215" s="139" t="s">
        <v>59</v>
      </c>
      <c r="BF215" s="136"/>
    </row>
    <row r="216" spans="1:58" s="127" customFormat="1" ht="154">
      <c r="B216" s="127" t="s">
        <v>649</v>
      </c>
      <c r="E216" s="400"/>
      <c r="F216" s="398" t="s">
        <v>555</v>
      </c>
      <c r="G216" s="399" t="s">
        <v>463</v>
      </c>
      <c r="H216" s="392">
        <v>44991</v>
      </c>
      <c r="I216" s="392">
        <v>45002</v>
      </c>
      <c r="J216" s="392">
        <v>45005</v>
      </c>
      <c r="K216" s="401"/>
      <c r="L216" s="392"/>
      <c r="M216" s="393"/>
      <c r="N216" s="393"/>
      <c r="O216" s="393"/>
      <c r="P216" s="393"/>
      <c r="Q216" s="394" t="s">
        <v>49</v>
      </c>
      <c r="R216" s="394" t="s">
        <v>650</v>
      </c>
      <c r="S216" s="127">
        <f t="shared" si="126"/>
        <v>20</v>
      </c>
      <c r="U216" s="127">
        <v>20</v>
      </c>
      <c r="V216" s="472">
        <v>0</v>
      </c>
      <c r="AA216" s="127" t="s">
        <v>54</v>
      </c>
      <c r="AB216" s="127" t="s">
        <v>54</v>
      </c>
      <c r="AG216" s="127" t="s">
        <v>85</v>
      </c>
      <c r="AH216" s="127" t="s">
        <v>283</v>
      </c>
      <c r="AI216" s="127" t="s">
        <v>48</v>
      </c>
      <c r="AL216" s="127" t="s">
        <v>57</v>
      </c>
      <c r="AN216" s="127" t="s">
        <v>544</v>
      </c>
      <c r="AR216" s="135">
        <f>COUNTIF(B:B,B216)</f>
        <v>1</v>
      </c>
      <c r="AS216" s="135" t="str">
        <f t="shared" si="127"/>
        <v>2023_03_06_a</v>
      </c>
      <c r="AT216" s="136"/>
      <c r="AU216" s="135" t="str">
        <f t="shared" si="128"/>
        <v>2023</v>
      </c>
      <c r="AV216" s="135" t="str">
        <f t="shared" si="129"/>
        <v>03</v>
      </c>
      <c r="AW216" s="135" t="str">
        <f t="shared" si="130"/>
        <v>06</v>
      </c>
      <c r="AX216" s="135">
        <f t="shared" si="131"/>
        <v>44991</v>
      </c>
      <c r="AY216" s="137"/>
      <c r="AZ216" s="138">
        <f t="shared" si="132"/>
        <v>44991</v>
      </c>
      <c r="BA216" s="135" t="b">
        <f t="shared" si="133"/>
        <v>1</v>
      </c>
      <c r="BB216" s="135">
        <f t="shared" si="134"/>
        <v>44991</v>
      </c>
      <c r="BC216" s="135" t="str">
        <f t="shared" si="135"/>
        <v>no</v>
      </c>
      <c r="BD216" s="135" t="b">
        <f t="shared" si="136"/>
        <v>0</v>
      </c>
      <c r="BE216" s="139" t="s">
        <v>59</v>
      </c>
      <c r="BF216" s="136"/>
    </row>
    <row r="217" spans="1:58" s="170" customFormat="1" ht="154" customHeight="1">
      <c r="A217" s="485"/>
      <c r="B217" s="485"/>
      <c r="C217" s="485"/>
      <c r="D217" s="485"/>
      <c r="E217" s="485"/>
      <c r="F217" s="495" t="s">
        <v>362</v>
      </c>
      <c r="G217" s="496"/>
      <c r="H217" s="496"/>
      <c r="I217" s="496"/>
      <c r="J217" s="496"/>
      <c r="K217" s="496"/>
      <c r="L217" s="496"/>
      <c r="M217" s="496"/>
      <c r="N217" s="496"/>
      <c r="O217" s="496"/>
      <c r="P217" s="496"/>
      <c r="Q217" s="496"/>
      <c r="R217" s="497"/>
      <c r="S217" s="472">
        <f>SUMIFS(S152:S176, AA152:AA176, "=Complete")</f>
        <v>256</v>
      </c>
      <c r="T217" s="472"/>
      <c r="U217" s="472">
        <f>SUMIFS(U152:U176, Z152:Z176, "=Complete")</f>
        <v>25</v>
      </c>
      <c r="V217" s="472">
        <f>SUMIFS(V152:V176, Z152:Z176, "=Complete")</f>
        <v>65</v>
      </c>
      <c r="W217" s="472"/>
      <c r="X217" s="472"/>
      <c r="Y217" s="472"/>
      <c r="Z217" s="472"/>
      <c r="AA217" s="472">
        <f>COUNTIFS(AA152:AA176, "=Complete")</f>
        <v>11</v>
      </c>
      <c r="AB217" s="472"/>
      <c r="AC217" s="472"/>
      <c r="AD217" s="472"/>
      <c r="AE217" s="472"/>
      <c r="AF217" s="472"/>
      <c r="AG217" s="472">
        <f>COUNTIFS(AG152:AG176, "=Legacy")</f>
        <v>0</v>
      </c>
      <c r="AH217" s="472">
        <f>COUNTIFS(AH152:AH176, "=Virtual")</f>
        <v>19</v>
      </c>
      <c r="AI217" s="472"/>
      <c r="AJ217" s="472"/>
      <c r="AK217" s="472"/>
      <c r="AL217" s="472"/>
      <c r="AM217" s="485"/>
      <c r="AN217" s="485"/>
      <c r="AR217" s="135">
        <f>COUNTIF(B:B,B217)</f>
        <v>0</v>
      </c>
      <c r="AS217" s="135">
        <f t="shared" si="127"/>
        <v>0</v>
      </c>
      <c r="AT217" s="136"/>
      <c r="AU217" s="135" t="str">
        <f t="shared" si="128"/>
        <v>0</v>
      </c>
      <c r="AV217" s="135" t="str">
        <f t="shared" si="129"/>
        <v/>
      </c>
      <c r="AW217" s="135" t="str">
        <f t="shared" si="130"/>
        <v/>
      </c>
      <c r="AX217" s="135" t="str">
        <f t="shared" si="131"/>
        <v xml:space="preserve"> </v>
      </c>
      <c r="AY217" s="137"/>
      <c r="AZ217" s="138">
        <f t="shared" si="132"/>
        <v>0</v>
      </c>
      <c r="BA217" s="135" t="str">
        <f t="shared" si="133"/>
        <v xml:space="preserve"> </v>
      </c>
      <c r="BB217" s="135">
        <f t="shared" si="134"/>
        <v>0</v>
      </c>
      <c r="BC217" s="135" t="str">
        <f t="shared" si="135"/>
        <v>no</v>
      </c>
      <c r="BD217" s="135" t="b">
        <f t="shared" si="136"/>
        <v>0</v>
      </c>
      <c r="BE217" s="139" t="s">
        <v>59</v>
      </c>
      <c r="BF217" s="136"/>
    </row>
    <row r="218" spans="1:58" s="126" customFormat="1" ht="154">
      <c r="A218" s="472"/>
      <c r="B218" s="472"/>
      <c r="C218" s="472"/>
      <c r="D218" s="472"/>
      <c r="E218" s="472"/>
      <c r="F218" s="492" t="s">
        <v>363</v>
      </c>
      <c r="G218" s="492"/>
      <c r="H218" s="492"/>
      <c r="I218" s="492"/>
      <c r="J218" s="492"/>
      <c r="K218" s="492"/>
      <c r="L218" s="492"/>
      <c r="M218" s="492"/>
      <c r="N218" s="492"/>
      <c r="O218" s="492"/>
      <c r="P218" s="492"/>
      <c r="Q218" s="492"/>
      <c r="R218" s="492"/>
      <c r="S218" s="472">
        <f>SUMIFS(S152:S176, AA152:AA176, "=In Progress")</f>
        <v>90</v>
      </c>
      <c r="T218" s="472"/>
      <c r="U218" s="472">
        <f>SUMIFS(U152:U176, Z152:Z176, "=In Progress")</f>
        <v>0</v>
      </c>
      <c r="V218" s="472">
        <f>SUMIFS(V152:V176, Z152:Z176, "=In Progress")</f>
        <v>0</v>
      </c>
      <c r="W218" s="472"/>
      <c r="X218" s="472"/>
      <c r="Y218" s="472"/>
      <c r="Z218" s="472"/>
      <c r="AA218" s="472">
        <f>COUNTIFS(AA152:AA176, "=In Progress")</f>
        <v>5</v>
      </c>
      <c r="AB218" s="472"/>
      <c r="AC218" s="472"/>
      <c r="AD218" s="472"/>
      <c r="AE218" s="472"/>
      <c r="AF218" s="472"/>
      <c r="AG218" s="472"/>
      <c r="AH218" s="472"/>
      <c r="AI218" s="472"/>
      <c r="AJ218" s="472"/>
      <c r="AK218" s="472"/>
      <c r="AL218" s="472"/>
      <c r="AM218" s="472"/>
      <c r="AN218" s="472"/>
      <c r="AO218" s="472"/>
      <c r="AP218" s="472"/>
      <c r="AQ218" s="472"/>
      <c r="AR218" s="135">
        <f>COUNTIF(B:B,B218)</f>
        <v>0</v>
      </c>
      <c r="AS218" s="135">
        <f t="shared" si="127"/>
        <v>0</v>
      </c>
      <c r="AT218" s="136"/>
      <c r="AU218" s="135" t="str">
        <f t="shared" si="128"/>
        <v>0</v>
      </c>
      <c r="AV218" s="135" t="str">
        <f t="shared" si="129"/>
        <v/>
      </c>
      <c r="AW218" s="135" t="str">
        <f t="shared" si="130"/>
        <v/>
      </c>
      <c r="AX218" s="135" t="str">
        <f t="shared" si="131"/>
        <v xml:space="preserve"> </v>
      </c>
      <c r="AY218" s="137"/>
      <c r="AZ218" s="138">
        <f t="shared" si="132"/>
        <v>0</v>
      </c>
      <c r="BA218" s="135" t="str">
        <f t="shared" si="133"/>
        <v xml:space="preserve"> </v>
      </c>
      <c r="BB218" s="135">
        <f t="shared" si="134"/>
        <v>0</v>
      </c>
      <c r="BC218" s="135" t="str">
        <f t="shared" si="135"/>
        <v>no</v>
      </c>
      <c r="BD218" s="135" t="b">
        <f t="shared" si="136"/>
        <v>1</v>
      </c>
      <c r="BE218" s="139" t="s">
        <v>59</v>
      </c>
      <c r="BF218" s="136"/>
    </row>
    <row r="219" spans="1:58" s="170" customFormat="1" ht="154">
      <c r="A219" s="485"/>
      <c r="B219" s="485"/>
      <c r="C219" s="485"/>
      <c r="D219" s="485"/>
      <c r="E219" s="485"/>
      <c r="F219" s="492" t="s">
        <v>223</v>
      </c>
      <c r="G219" s="493"/>
      <c r="H219" s="493"/>
      <c r="I219" s="493"/>
      <c r="J219" s="493"/>
      <c r="K219" s="493"/>
      <c r="L219" s="493"/>
      <c r="M219" s="493"/>
      <c r="N219" s="493"/>
      <c r="O219" s="493"/>
      <c r="P219" s="493"/>
      <c r="Q219" s="493"/>
      <c r="R219" s="493"/>
      <c r="S219" s="472">
        <f>SUMIFS(S152:S176, AA152:AA176, "=Planned")</f>
        <v>64</v>
      </c>
      <c r="T219" s="472"/>
      <c r="U219" s="472">
        <f>SUMIFS(U152:U176, Z152:Z176, "=Planned")</f>
        <v>0</v>
      </c>
      <c r="V219" s="472">
        <f>SUMIFS(V152:V176, Z152:Z176, "=Planned")</f>
        <v>384</v>
      </c>
      <c r="W219" s="472"/>
      <c r="X219" s="472"/>
      <c r="Y219" s="472"/>
      <c r="Z219" s="472"/>
      <c r="AA219" s="472">
        <f>COUNTIFS(AA152:AA176, "=Planned")</f>
        <v>3</v>
      </c>
      <c r="AB219" s="472"/>
      <c r="AC219" s="472"/>
      <c r="AD219" s="472"/>
      <c r="AE219" s="472"/>
      <c r="AF219" s="472"/>
      <c r="AG219" s="472">
        <f>COUNTIFS(AG152:AG176, "=New")</f>
        <v>0</v>
      </c>
      <c r="AH219" s="472">
        <f>COUNTIFS(AH152:AH176, "=F2F")</f>
        <v>2</v>
      </c>
      <c r="AI219" s="472"/>
      <c r="AJ219" s="472"/>
      <c r="AK219" s="472"/>
      <c r="AL219" s="472"/>
      <c r="AM219" s="485"/>
      <c r="AN219" s="485"/>
      <c r="AR219" s="135">
        <f>COUNTIF(B:B,B219)</f>
        <v>0</v>
      </c>
      <c r="AS219" s="135">
        <f t="shared" si="127"/>
        <v>0</v>
      </c>
      <c r="AT219" s="136"/>
      <c r="AU219" s="135" t="str">
        <f t="shared" si="128"/>
        <v>0</v>
      </c>
      <c r="AV219" s="135" t="str">
        <f t="shared" si="129"/>
        <v/>
      </c>
      <c r="AW219" s="135" t="str">
        <f t="shared" si="130"/>
        <v/>
      </c>
      <c r="AX219" s="135" t="str">
        <f t="shared" si="131"/>
        <v xml:space="preserve"> </v>
      </c>
      <c r="AY219" s="137"/>
      <c r="AZ219" s="138">
        <f t="shared" si="132"/>
        <v>0</v>
      </c>
      <c r="BA219" s="135" t="str">
        <f t="shared" si="133"/>
        <v xml:space="preserve"> </v>
      </c>
      <c r="BB219" s="135">
        <f t="shared" si="134"/>
        <v>0</v>
      </c>
      <c r="BC219" s="135" t="str">
        <f t="shared" si="135"/>
        <v>no</v>
      </c>
      <c r="BD219" s="135" t="b">
        <f t="shared" si="136"/>
        <v>0</v>
      </c>
      <c r="BE219" s="139" t="s">
        <v>59</v>
      </c>
      <c r="BF219" s="136"/>
    </row>
    <row r="220" spans="1:58" s="126" customFormat="1" ht="154">
      <c r="A220" s="472"/>
      <c r="B220" s="472"/>
      <c r="C220" s="472"/>
      <c r="D220" s="472"/>
      <c r="E220" s="472"/>
      <c r="F220" s="492" t="s">
        <v>224</v>
      </c>
      <c r="G220" s="492"/>
      <c r="H220" s="492"/>
      <c r="I220" s="492"/>
      <c r="J220" s="492"/>
      <c r="K220" s="492"/>
      <c r="L220" s="492"/>
      <c r="M220" s="492"/>
      <c r="N220" s="492"/>
      <c r="O220" s="492"/>
      <c r="P220" s="492"/>
      <c r="Q220" s="492"/>
      <c r="R220" s="492"/>
      <c r="S220" s="472">
        <f>SUMIFS(S152:S176, AA152:AA176, "=Tentative")</f>
        <v>0</v>
      </c>
      <c r="T220" s="472"/>
      <c r="U220" s="472">
        <f>SUMIFS(U152:U176, Z152:Z176, "=Tentative")</f>
        <v>0</v>
      </c>
      <c r="V220" s="472">
        <f>SUMIFS(V152:V176, Z152:Z176, "=Tentative")</f>
        <v>0</v>
      </c>
      <c r="W220" s="472"/>
      <c r="X220" s="472"/>
      <c r="Y220" s="472"/>
      <c r="Z220" s="472"/>
      <c r="AA220" s="472">
        <f>COUNTIFS(AA152:AA176, "=Tentative")</f>
        <v>0</v>
      </c>
      <c r="AB220" s="472"/>
      <c r="AC220" s="472"/>
      <c r="AD220" s="472"/>
      <c r="AE220" s="472"/>
      <c r="AF220" s="472"/>
      <c r="AG220" s="472"/>
      <c r="AH220" s="472"/>
      <c r="AI220" s="472"/>
      <c r="AJ220" s="472"/>
      <c r="AK220" s="472"/>
      <c r="AL220" s="472"/>
      <c r="AM220" s="472"/>
      <c r="AN220" s="472"/>
      <c r="AO220" s="472"/>
      <c r="AP220" s="472"/>
      <c r="AQ220" s="472"/>
      <c r="AR220" s="135">
        <f>COUNTIF(B:B,B220)</f>
        <v>0</v>
      </c>
      <c r="AS220" s="135">
        <f t="shared" si="127"/>
        <v>0</v>
      </c>
      <c r="AT220" s="136"/>
      <c r="AU220" s="135" t="str">
        <f t="shared" si="128"/>
        <v>0</v>
      </c>
      <c r="AV220" s="135" t="str">
        <f t="shared" si="129"/>
        <v/>
      </c>
      <c r="AW220" s="135" t="str">
        <f t="shared" si="130"/>
        <v/>
      </c>
      <c r="AX220" s="135" t="str">
        <f t="shared" si="131"/>
        <v xml:space="preserve"> </v>
      </c>
      <c r="AY220" s="137"/>
      <c r="AZ220" s="138">
        <f t="shared" si="132"/>
        <v>0</v>
      </c>
      <c r="BA220" s="135" t="str">
        <f t="shared" si="133"/>
        <v xml:space="preserve"> </v>
      </c>
      <c r="BB220" s="135">
        <f t="shared" si="134"/>
        <v>0</v>
      </c>
      <c r="BC220" s="135" t="str">
        <f t="shared" si="135"/>
        <v>no</v>
      </c>
      <c r="BD220" s="135" t="b">
        <f t="shared" si="136"/>
        <v>1</v>
      </c>
      <c r="BE220" s="139" t="s">
        <v>59</v>
      </c>
      <c r="BF220" s="136"/>
    </row>
    <row r="221" spans="1:58" s="149" customFormat="1" ht="154">
      <c r="A221" s="149" t="s">
        <v>651</v>
      </c>
      <c r="B221" s="149" t="s">
        <v>652</v>
      </c>
      <c r="D221" s="190">
        <v>10089763</v>
      </c>
      <c r="E221" s="154" t="s">
        <v>80</v>
      </c>
      <c r="F221" s="154" t="s">
        <v>653</v>
      </c>
      <c r="G221" s="156">
        <v>44081</v>
      </c>
      <c r="H221" s="155">
        <v>44081</v>
      </c>
      <c r="I221" s="156">
        <v>44092</v>
      </c>
      <c r="J221" s="155">
        <v>43850</v>
      </c>
      <c r="K221" s="156">
        <v>43896</v>
      </c>
      <c r="L221" s="156">
        <v>44095</v>
      </c>
      <c r="M221" s="156" t="s">
        <v>48</v>
      </c>
      <c r="N221" s="156" t="s">
        <v>48</v>
      </c>
      <c r="O221" s="156"/>
      <c r="P221" s="156"/>
      <c r="Q221" s="149" t="s">
        <v>93</v>
      </c>
      <c r="R221" s="149" t="s">
        <v>654</v>
      </c>
      <c r="S221" s="149">
        <f t="shared" ref="S221:S235" si="137">U221+V221</f>
        <v>17</v>
      </c>
      <c r="T221" s="149">
        <v>17</v>
      </c>
      <c r="U221" s="149">
        <v>0</v>
      </c>
      <c r="V221" s="472">
        <v>17</v>
      </c>
      <c r="Z221" s="149" t="s">
        <v>52</v>
      </c>
      <c r="AA221" s="149" t="s">
        <v>53</v>
      </c>
      <c r="AB221" s="149" t="s">
        <v>52</v>
      </c>
      <c r="AC221" s="149" t="s">
        <v>48</v>
      </c>
      <c r="AD221" s="149" t="s">
        <v>52</v>
      </c>
      <c r="AE221" s="149" t="s">
        <v>54</v>
      </c>
      <c r="AF221" s="149" t="s">
        <v>54</v>
      </c>
      <c r="AG221" s="149" t="s">
        <v>85</v>
      </c>
      <c r="AH221" s="149" t="s">
        <v>86</v>
      </c>
      <c r="AI221" s="149" t="s">
        <v>48</v>
      </c>
      <c r="AL221" s="149" t="s">
        <v>655</v>
      </c>
      <c r="AM221" s="191"/>
      <c r="AN221" s="191" t="s">
        <v>656</v>
      </c>
      <c r="AR221" s="135">
        <f>COUNTIF(B:B,B221)</f>
        <v>1</v>
      </c>
      <c r="AS221" s="135" t="str">
        <f t="shared" si="127"/>
        <v>2020_09_07_a</v>
      </c>
      <c r="AT221" s="136"/>
      <c r="AU221" s="135" t="str">
        <f t="shared" si="128"/>
        <v>2020</v>
      </c>
      <c r="AV221" s="135" t="str">
        <f t="shared" si="129"/>
        <v>09</v>
      </c>
      <c r="AW221" s="135" t="str">
        <f t="shared" si="130"/>
        <v>07</v>
      </c>
      <c r="AX221" s="135">
        <f t="shared" si="131"/>
        <v>44081</v>
      </c>
      <c r="AY221" s="137"/>
      <c r="AZ221" s="138">
        <f t="shared" si="132"/>
        <v>44081</v>
      </c>
      <c r="BA221" s="135" t="b">
        <f t="shared" si="133"/>
        <v>1</v>
      </c>
      <c r="BB221" s="135">
        <f t="shared" si="134"/>
        <v>44081</v>
      </c>
      <c r="BC221" s="135" t="str">
        <f t="shared" si="135"/>
        <v>no</v>
      </c>
      <c r="BD221" s="135" t="b">
        <f t="shared" si="136"/>
        <v>0</v>
      </c>
      <c r="BE221" s="139" t="s">
        <v>59</v>
      </c>
      <c r="BF221" s="136"/>
    </row>
    <row r="222" spans="1:58" s="126" customFormat="1" ht="154">
      <c r="A222" s="472"/>
      <c r="B222" s="472" t="s">
        <v>657</v>
      </c>
      <c r="C222" s="472"/>
      <c r="D222" s="472" t="s">
        <v>658</v>
      </c>
      <c r="E222" s="472" t="s">
        <v>91</v>
      </c>
      <c r="F222" s="471" t="s">
        <v>653</v>
      </c>
      <c r="G222" s="176" t="s">
        <v>659</v>
      </c>
      <c r="H222" s="175">
        <v>44298</v>
      </c>
      <c r="I222" s="176">
        <v>44309</v>
      </c>
      <c r="J222" s="175">
        <v>44221</v>
      </c>
      <c r="K222" s="176">
        <v>44267</v>
      </c>
      <c r="L222" s="176">
        <v>44312</v>
      </c>
      <c r="M222" s="176" t="s">
        <v>48</v>
      </c>
      <c r="N222" s="176" t="s">
        <v>48</v>
      </c>
      <c r="O222" s="472"/>
      <c r="P222" s="472"/>
      <c r="Q222" s="472" t="s">
        <v>82</v>
      </c>
      <c r="R222" s="472" t="s">
        <v>654</v>
      </c>
      <c r="S222" s="472">
        <f t="shared" si="137"/>
        <v>12</v>
      </c>
      <c r="T222" s="472">
        <v>12</v>
      </c>
      <c r="U222" s="472">
        <v>0</v>
      </c>
      <c r="V222" s="472">
        <v>12</v>
      </c>
      <c r="W222" s="472"/>
      <c r="X222" s="472"/>
      <c r="Y222" s="472"/>
      <c r="Z222" s="472"/>
      <c r="AA222" s="472"/>
      <c r="AB222" s="472"/>
      <c r="AC222" s="472"/>
      <c r="AD222" s="472"/>
      <c r="AE222" s="472"/>
      <c r="AF222" s="472"/>
      <c r="AG222" s="472" t="s">
        <v>85</v>
      </c>
      <c r="AH222" s="472" t="s">
        <v>86</v>
      </c>
      <c r="AI222" s="472"/>
      <c r="AJ222" s="472"/>
      <c r="AK222" s="472"/>
      <c r="AL222" s="149" t="s">
        <v>655</v>
      </c>
      <c r="AM222" s="472"/>
      <c r="AN222" s="472" t="s">
        <v>660</v>
      </c>
      <c r="AO222" s="472"/>
      <c r="AP222" s="472"/>
      <c r="AQ222" s="472"/>
      <c r="AR222" s="135">
        <f>COUNTIF(B:B,B222)</f>
        <v>1</v>
      </c>
      <c r="AS222" s="135" t="str">
        <f t="shared" si="127"/>
        <v>2021_04_12_a</v>
      </c>
      <c r="AT222" s="136"/>
      <c r="AU222" s="135" t="str">
        <f t="shared" si="128"/>
        <v>2021</v>
      </c>
      <c r="AV222" s="135" t="str">
        <f t="shared" si="129"/>
        <v>04</v>
      </c>
      <c r="AW222" s="135" t="str">
        <f t="shared" si="130"/>
        <v>12</v>
      </c>
      <c r="AX222" s="135">
        <f t="shared" si="131"/>
        <v>44298</v>
      </c>
      <c r="AY222" s="137"/>
      <c r="AZ222" s="138">
        <f t="shared" si="132"/>
        <v>44298</v>
      </c>
      <c r="BA222" s="135" t="b">
        <f t="shared" si="133"/>
        <v>1</v>
      </c>
      <c r="BB222" s="135">
        <f t="shared" si="134"/>
        <v>44298</v>
      </c>
      <c r="BC222" s="135" t="str">
        <f t="shared" si="135"/>
        <v>no</v>
      </c>
      <c r="BD222" s="135" t="b">
        <f t="shared" si="136"/>
        <v>0</v>
      </c>
      <c r="BE222" s="139" t="s">
        <v>59</v>
      </c>
      <c r="BF222" s="136"/>
    </row>
    <row r="223" spans="1:58" s="126" customFormat="1" ht="154">
      <c r="A223" s="472"/>
      <c r="B223" s="472" t="s">
        <v>661</v>
      </c>
      <c r="C223" s="472"/>
      <c r="D223" s="472" t="s">
        <v>662</v>
      </c>
      <c r="E223" s="472"/>
      <c r="F223" s="471" t="s">
        <v>653</v>
      </c>
      <c r="G223" s="176">
        <v>44312</v>
      </c>
      <c r="H223" s="175">
        <v>44312</v>
      </c>
      <c r="I223" s="176">
        <v>44323</v>
      </c>
      <c r="J223" s="175">
        <v>44326</v>
      </c>
      <c r="K223" s="176">
        <v>44386</v>
      </c>
      <c r="L223" s="176">
        <v>44359</v>
      </c>
      <c r="M223" s="176" t="s">
        <v>48</v>
      </c>
      <c r="N223" s="176" t="s">
        <v>48</v>
      </c>
      <c r="O223" s="472"/>
      <c r="P223" s="472"/>
      <c r="Q223" s="472" t="s">
        <v>82</v>
      </c>
      <c r="R223" s="472" t="s">
        <v>654</v>
      </c>
      <c r="S223" s="472">
        <f t="shared" si="137"/>
        <v>2</v>
      </c>
      <c r="T223" s="472"/>
      <c r="U223" s="23">
        <v>0</v>
      </c>
      <c r="V223" s="472">
        <v>2</v>
      </c>
      <c r="W223" s="472"/>
      <c r="X223" s="192"/>
      <c r="Y223" s="192"/>
      <c r="Z223" s="472" t="s">
        <v>52</v>
      </c>
      <c r="AA223" s="472">
        <f>COUNTIFS(AA221:AA221, "=Complete")</f>
        <v>0</v>
      </c>
      <c r="AB223" s="472"/>
      <c r="AC223" s="472"/>
      <c r="AD223" s="472"/>
      <c r="AE223" s="472"/>
      <c r="AF223" s="472"/>
      <c r="AG223" s="472" t="s">
        <v>85</v>
      </c>
      <c r="AH223" s="472" t="s">
        <v>86</v>
      </c>
      <c r="AI223" s="472"/>
      <c r="AJ223" s="472"/>
      <c r="AK223" s="472"/>
      <c r="AL223" s="472" t="s">
        <v>57</v>
      </c>
      <c r="AM223" s="472"/>
      <c r="AN223" s="472" t="s">
        <v>663</v>
      </c>
      <c r="AO223" s="472"/>
      <c r="AP223" s="472"/>
      <c r="AQ223" s="472"/>
      <c r="AR223" s="135">
        <f>COUNTIF(B:B,B223)</f>
        <v>1</v>
      </c>
      <c r="AS223" s="135" t="str">
        <f t="shared" si="127"/>
        <v>2021_04_26_a</v>
      </c>
      <c r="AT223" s="136"/>
      <c r="AU223" s="135" t="str">
        <f t="shared" si="128"/>
        <v>2021</v>
      </c>
      <c r="AV223" s="135" t="str">
        <f t="shared" si="129"/>
        <v>04</v>
      </c>
      <c r="AW223" s="135" t="str">
        <f t="shared" si="130"/>
        <v>26</v>
      </c>
      <c r="AX223" s="135">
        <f t="shared" si="131"/>
        <v>44312</v>
      </c>
      <c r="AY223" s="137"/>
      <c r="AZ223" s="138">
        <f t="shared" si="132"/>
        <v>44312</v>
      </c>
      <c r="BA223" s="135" t="b">
        <f t="shared" si="133"/>
        <v>1</v>
      </c>
      <c r="BB223" s="135">
        <f t="shared" si="134"/>
        <v>44312</v>
      </c>
      <c r="BC223" s="135" t="str">
        <f t="shared" si="135"/>
        <v>no</v>
      </c>
      <c r="BD223" s="135" t="b">
        <f t="shared" si="136"/>
        <v>0</v>
      </c>
      <c r="BE223" s="139" t="s">
        <v>59</v>
      </c>
      <c r="BF223" s="136"/>
    </row>
    <row r="224" spans="1:58" s="126" customFormat="1" ht="154">
      <c r="A224" s="472"/>
      <c r="B224" s="472" t="s">
        <v>664</v>
      </c>
      <c r="C224" s="472"/>
      <c r="D224" s="472" t="s">
        <v>665</v>
      </c>
      <c r="E224" s="472"/>
      <c r="F224" s="471" t="s">
        <v>653</v>
      </c>
      <c r="G224" s="176">
        <v>44319</v>
      </c>
      <c r="H224" s="175">
        <v>44319</v>
      </c>
      <c r="I224" s="176">
        <v>44330</v>
      </c>
      <c r="J224" s="175">
        <v>44333</v>
      </c>
      <c r="K224" s="176">
        <v>44393</v>
      </c>
      <c r="L224" s="176">
        <v>44396</v>
      </c>
      <c r="M224" s="176" t="s">
        <v>48</v>
      </c>
      <c r="N224" s="176" t="s">
        <v>48</v>
      </c>
      <c r="O224" s="472"/>
      <c r="P224" s="472"/>
      <c r="Q224" s="472" t="s">
        <v>82</v>
      </c>
      <c r="R224" s="472" t="s">
        <v>654</v>
      </c>
      <c r="S224" s="472">
        <f t="shared" si="137"/>
        <v>10</v>
      </c>
      <c r="T224" s="472"/>
      <c r="U224" s="23">
        <v>0</v>
      </c>
      <c r="V224" s="472">
        <v>10</v>
      </c>
      <c r="W224" s="472"/>
      <c r="X224" s="192"/>
      <c r="Y224" s="192"/>
      <c r="Z224" s="472" t="s">
        <v>52</v>
      </c>
      <c r="AA224" s="472"/>
      <c r="AB224" s="472"/>
      <c r="AC224" s="472"/>
      <c r="AD224" s="472"/>
      <c r="AE224" s="472"/>
      <c r="AF224" s="472"/>
      <c r="AG224" s="472" t="s">
        <v>85</v>
      </c>
      <c r="AH224" s="472" t="s">
        <v>86</v>
      </c>
      <c r="AI224" s="472"/>
      <c r="AJ224" s="472"/>
      <c r="AK224" s="472"/>
      <c r="AL224" s="472" t="s">
        <v>57</v>
      </c>
      <c r="AM224" s="472"/>
      <c r="AN224" s="472" t="s">
        <v>666</v>
      </c>
      <c r="AO224" s="472"/>
      <c r="AP224" s="472"/>
      <c r="AQ224" s="472"/>
      <c r="AR224" s="135">
        <f>COUNTIF(B:B,B224)</f>
        <v>1</v>
      </c>
      <c r="AS224" s="135" t="str">
        <f t="shared" si="127"/>
        <v>2021_05_03_a</v>
      </c>
      <c r="AT224" s="136"/>
      <c r="AU224" s="135" t="str">
        <f t="shared" si="128"/>
        <v>2021</v>
      </c>
      <c r="AV224" s="135" t="str">
        <f t="shared" si="129"/>
        <v>05</v>
      </c>
      <c r="AW224" s="135" t="str">
        <f t="shared" si="130"/>
        <v>03</v>
      </c>
      <c r="AX224" s="135">
        <f t="shared" si="131"/>
        <v>44319</v>
      </c>
      <c r="AY224" s="137"/>
      <c r="AZ224" s="138">
        <f t="shared" si="132"/>
        <v>44319</v>
      </c>
      <c r="BA224" s="135" t="b">
        <f t="shared" si="133"/>
        <v>1</v>
      </c>
      <c r="BB224" s="135">
        <f t="shared" si="134"/>
        <v>44319</v>
      </c>
      <c r="BC224" s="135" t="str">
        <f t="shared" si="135"/>
        <v>no</v>
      </c>
      <c r="BD224" s="135" t="b">
        <f t="shared" si="136"/>
        <v>0</v>
      </c>
      <c r="BE224" s="139" t="s">
        <v>59</v>
      </c>
      <c r="BF224" s="136"/>
    </row>
    <row r="225" spans="1:58" s="126" customFormat="1" ht="154">
      <c r="A225" s="472"/>
      <c r="B225" s="472" t="s">
        <v>667</v>
      </c>
      <c r="C225" s="472"/>
      <c r="D225" s="472" t="s">
        <v>668</v>
      </c>
      <c r="E225" s="472"/>
      <c r="F225" s="471" t="s">
        <v>653</v>
      </c>
      <c r="G225" s="176" t="s">
        <v>669</v>
      </c>
      <c r="H225" s="175">
        <v>44396</v>
      </c>
      <c r="I225" s="176" t="s">
        <v>670</v>
      </c>
      <c r="J225" s="175">
        <v>44361</v>
      </c>
      <c r="K225" s="176">
        <v>44393</v>
      </c>
      <c r="L225" s="176" t="s">
        <v>671</v>
      </c>
      <c r="M225" s="176" t="s">
        <v>48</v>
      </c>
      <c r="N225" s="176" t="s">
        <v>48</v>
      </c>
      <c r="O225" s="472"/>
      <c r="P225" s="472"/>
      <c r="Q225" s="472" t="s">
        <v>82</v>
      </c>
      <c r="R225" s="472" t="s">
        <v>654</v>
      </c>
      <c r="S225" s="472">
        <f t="shared" si="137"/>
        <v>4</v>
      </c>
      <c r="T225" s="472"/>
      <c r="U225" s="23">
        <v>0</v>
      </c>
      <c r="V225" s="472">
        <v>4</v>
      </c>
      <c r="W225" s="472"/>
      <c r="X225" s="192"/>
      <c r="Y225" s="192"/>
      <c r="Z225" s="472"/>
      <c r="AA225" s="472"/>
      <c r="AB225" s="472"/>
      <c r="AC225" s="472"/>
      <c r="AD225" s="472"/>
      <c r="AE225" s="472"/>
      <c r="AF225" s="472"/>
      <c r="AG225" s="472" t="s">
        <v>85</v>
      </c>
      <c r="AH225" s="472" t="s">
        <v>86</v>
      </c>
      <c r="AI225" s="472"/>
      <c r="AJ225" s="472"/>
      <c r="AK225" s="472"/>
      <c r="AL225" s="472" t="s">
        <v>672</v>
      </c>
      <c r="AM225" s="177"/>
      <c r="AN225" s="177" t="s">
        <v>672</v>
      </c>
      <c r="AO225" s="472"/>
      <c r="AP225" s="472"/>
      <c r="AQ225" s="472"/>
      <c r="AR225" s="135">
        <f>COUNTIF(B:B,B225)</f>
        <v>1</v>
      </c>
      <c r="AS225" s="135" t="str">
        <f t="shared" si="127"/>
        <v>2021_07_19_a</v>
      </c>
      <c r="AT225" s="136"/>
      <c r="AU225" s="135" t="str">
        <f t="shared" si="128"/>
        <v>2021</v>
      </c>
      <c r="AV225" s="135" t="str">
        <f t="shared" si="129"/>
        <v>07</v>
      </c>
      <c r="AW225" s="135" t="str">
        <f t="shared" si="130"/>
        <v>19</v>
      </c>
      <c r="AX225" s="135">
        <f t="shared" si="131"/>
        <v>44396</v>
      </c>
      <c r="AY225" s="137"/>
      <c r="AZ225" s="138">
        <f t="shared" si="132"/>
        <v>44396</v>
      </c>
      <c r="BA225" s="135" t="b">
        <f t="shared" si="133"/>
        <v>1</v>
      </c>
      <c r="BB225" s="135">
        <f t="shared" si="134"/>
        <v>44396</v>
      </c>
      <c r="BC225" s="135" t="str">
        <f t="shared" si="135"/>
        <v>no</v>
      </c>
      <c r="BD225" s="135" t="b">
        <f t="shared" si="136"/>
        <v>0</v>
      </c>
      <c r="BE225" s="139" t="s">
        <v>59</v>
      </c>
      <c r="BF225" s="136"/>
    </row>
    <row r="226" spans="1:58" s="126" customFormat="1" ht="154">
      <c r="A226" s="472"/>
      <c r="B226" s="472" t="s">
        <v>673</v>
      </c>
      <c r="C226" s="472"/>
      <c r="D226" s="472" t="s">
        <v>668</v>
      </c>
      <c r="E226" s="472"/>
      <c r="F226" s="471" t="s">
        <v>653</v>
      </c>
      <c r="G226" s="176" t="s">
        <v>674</v>
      </c>
      <c r="H226" s="175">
        <v>44396</v>
      </c>
      <c r="I226" s="176" t="s">
        <v>670</v>
      </c>
      <c r="J226" s="175">
        <v>44368</v>
      </c>
      <c r="K226" s="176" t="s">
        <v>675</v>
      </c>
      <c r="L226" s="176" t="s">
        <v>676</v>
      </c>
      <c r="M226" s="176" t="s">
        <v>48</v>
      </c>
      <c r="N226" s="176" t="s">
        <v>48</v>
      </c>
      <c r="O226" s="472"/>
      <c r="P226" s="472"/>
      <c r="Q226" s="472" t="s">
        <v>82</v>
      </c>
      <c r="R226" s="472" t="s">
        <v>654</v>
      </c>
      <c r="S226" s="472">
        <f t="shared" si="137"/>
        <v>4</v>
      </c>
      <c r="T226" s="472"/>
      <c r="U226" s="23">
        <v>0</v>
      </c>
      <c r="V226" s="472">
        <v>4</v>
      </c>
      <c r="W226" s="472"/>
      <c r="X226" s="192"/>
      <c r="Y226" s="192"/>
      <c r="Z226" s="472"/>
      <c r="AA226" s="472"/>
      <c r="AB226" s="472"/>
      <c r="AC226" s="472"/>
      <c r="AD226" s="472"/>
      <c r="AE226" s="472"/>
      <c r="AF226" s="472"/>
      <c r="AG226" s="472" t="s">
        <v>85</v>
      </c>
      <c r="AH226" s="472" t="s">
        <v>86</v>
      </c>
      <c r="AI226" s="472"/>
      <c r="AJ226" s="472"/>
      <c r="AK226" s="472"/>
      <c r="AL226" s="472" t="s">
        <v>672</v>
      </c>
      <c r="AM226" s="177"/>
      <c r="AN226" s="177" t="s">
        <v>672</v>
      </c>
      <c r="AO226" s="472"/>
      <c r="AP226" s="472"/>
      <c r="AQ226" s="472"/>
      <c r="AR226" s="135">
        <f>COUNTIF(B:B,B226)</f>
        <v>1</v>
      </c>
      <c r="AS226" s="135" t="str">
        <f t="shared" si="127"/>
        <v>2021_07_19_b</v>
      </c>
      <c r="AT226" s="136"/>
      <c r="AU226" s="135" t="str">
        <f t="shared" si="128"/>
        <v>2021</v>
      </c>
      <c r="AV226" s="135" t="str">
        <f t="shared" si="129"/>
        <v>07</v>
      </c>
      <c r="AW226" s="135" t="str">
        <f t="shared" si="130"/>
        <v>19</v>
      </c>
      <c r="AX226" s="135">
        <f t="shared" si="131"/>
        <v>44396</v>
      </c>
      <c r="AY226" s="137"/>
      <c r="AZ226" s="138">
        <f t="shared" si="132"/>
        <v>44396</v>
      </c>
      <c r="BA226" s="135" t="b">
        <f t="shared" si="133"/>
        <v>1</v>
      </c>
      <c r="BB226" s="135">
        <f t="shared" si="134"/>
        <v>44396</v>
      </c>
      <c r="BC226" s="135" t="str">
        <f t="shared" si="135"/>
        <v>no</v>
      </c>
      <c r="BD226" s="135" t="b">
        <f t="shared" si="136"/>
        <v>0</v>
      </c>
      <c r="BE226" s="139" t="s">
        <v>59</v>
      </c>
      <c r="BF226" s="136"/>
    </row>
    <row r="227" spans="1:58" s="126" customFormat="1" ht="154">
      <c r="A227" s="472"/>
      <c r="B227" s="472" t="s">
        <v>677</v>
      </c>
      <c r="C227" s="472">
        <v>10105391</v>
      </c>
      <c r="D227" s="472" t="s">
        <v>678</v>
      </c>
      <c r="E227" s="472"/>
      <c r="F227" s="471" t="s">
        <v>653</v>
      </c>
      <c r="G227" s="176" t="s">
        <v>679</v>
      </c>
      <c r="H227" s="175">
        <v>44424</v>
      </c>
      <c r="I227" s="176">
        <v>44435</v>
      </c>
      <c r="J227" s="175">
        <v>44438</v>
      </c>
      <c r="K227" s="176">
        <v>44484</v>
      </c>
      <c r="L227" s="176">
        <v>44487</v>
      </c>
      <c r="M227" s="176" t="s">
        <v>48</v>
      </c>
      <c r="N227" s="176" t="s">
        <v>48</v>
      </c>
      <c r="O227" s="472"/>
      <c r="P227" s="472"/>
      <c r="Q227" s="472" t="s">
        <v>93</v>
      </c>
      <c r="R227" s="472" t="s">
        <v>654</v>
      </c>
      <c r="S227" s="472">
        <f t="shared" si="137"/>
        <v>19</v>
      </c>
      <c r="T227" s="472"/>
      <c r="U227" s="23">
        <v>0</v>
      </c>
      <c r="V227" s="472">
        <v>19</v>
      </c>
      <c r="W227" s="472"/>
      <c r="X227" s="192"/>
      <c r="Y227" s="192"/>
      <c r="Z227" s="472"/>
      <c r="AA227" s="472"/>
      <c r="AB227" s="472"/>
      <c r="AC227" s="472"/>
      <c r="AD227" s="472"/>
      <c r="AE227" s="472"/>
      <c r="AF227" s="472"/>
      <c r="AG227" s="472" t="s">
        <v>85</v>
      </c>
      <c r="AH227" s="472" t="s">
        <v>86</v>
      </c>
      <c r="AI227" s="472"/>
      <c r="AJ227" s="472"/>
      <c r="AK227" s="472"/>
      <c r="AL227" s="472" t="s">
        <v>57</v>
      </c>
      <c r="AM227" s="177"/>
      <c r="AN227" s="177" t="s">
        <v>680</v>
      </c>
      <c r="AO227" s="472"/>
      <c r="AP227" s="472"/>
      <c r="AQ227" s="472"/>
      <c r="AR227" s="135">
        <f>COUNTIF(B:B,B227)</f>
        <v>1</v>
      </c>
      <c r="AS227" s="135" t="str">
        <f t="shared" si="127"/>
        <v>2021_08_16_a</v>
      </c>
      <c r="AT227" s="136"/>
      <c r="AU227" s="135" t="str">
        <f t="shared" si="128"/>
        <v>2021</v>
      </c>
      <c r="AV227" s="135" t="str">
        <f t="shared" si="129"/>
        <v>08</v>
      </c>
      <c r="AW227" s="135" t="str">
        <f t="shared" si="130"/>
        <v>16</v>
      </c>
      <c r="AX227" s="135">
        <f t="shared" si="131"/>
        <v>44424</v>
      </c>
      <c r="AY227" s="137"/>
      <c r="AZ227" s="138">
        <f t="shared" si="132"/>
        <v>44424</v>
      </c>
      <c r="BA227" s="135" t="b">
        <f t="shared" si="133"/>
        <v>1</v>
      </c>
      <c r="BB227" s="135">
        <f t="shared" si="134"/>
        <v>44424</v>
      </c>
      <c r="BC227" s="135" t="str">
        <f t="shared" si="135"/>
        <v>no</v>
      </c>
      <c r="BD227" s="135" t="b">
        <f t="shared" si="136"/>
        <v>0</v>
      </c>
      <c r="BE227" s="139" t="s">
        <v>59</v>
      </c>
      <c r="BF227" s="136"/>
    </row>
    <row r="228" spans="1:58" s="126" customFormat="1" ht="154">
      <c r="A228" s="472"/>
      <c r="B228" s="472" t="s">
        <v>681</v>
      </c>
      <c r="C228" s="472"/>
      <c r="D228" s="472" t="s">
        <v>682</v>
      </c>
      <c r="E228" s="472"/>
      <c r="F228" s="471" t="s">
        <v>653</v>
      </c>
      <c r="G228" s="176" t="s">
        <v>683</v>
      </c>
      <c r="H228" s="175">
        <v>44480</v>
      </c>
      <c r="I228" s="175">
        <v>44491</v>
      </c>
      <c r="J228" s="175">
        <v>44494</v>
      </c>
      <c r="K228" s="176">
        <v>44533</v>
      </c>
      <c r="L228" s="176">
        <v>44536</v>
      </c>
      <c r="M228" s="176" t="s">
        <v>48</v>
      </c>
      <c r="N228" s="176"/>
      <c r="O228" s="472"/>
      <c r="P228" s="472"/>
      <c r="Q228" s="472" t="s">
        <v>106</v>
      </c>
      <c r="R228" s="472" t="s">
        <v>654</v>
      </c>
      <c r="S228" s="472">
        <f t="shared" si="137"/>
        <v>39</v>
      </c>
      <c r="T228" s="472"/>
      <c r="U228" s="23">
        <v>0</v>
      </c>
      <c r="V228" s="472">
        <v>39</v>
      </c>
      <c r="W228" s="472"/>
      <c r="X228" s="192"/>
      <c r="Y228" s="192"/>
      <c r="Z228" s="472"/>
      <c r="AA228" s="472"/>
      <c r="AB228" s="472"/>
      <c r="AC228" s="472"/>
      <c r="AD228" s="472"/>
      <c r="AE228" s="472"/>
      <c r="AF228" s="472"/>
      <c r="AG228" s="472" t="s">
        <v>85</v>
      </c>
      <c r="AH228" s="472" t="s">
        <v>86</v>
      </c>
      <c r="AI228" s="472"/>
      <c r="AJ228" s="472"/>
      <c r="AK228" s="472"/>
      <c r="AL228" s="472" t="s">
        <v>57</v>
      </c>
      <c r="AM228" s="177"/>
      <c r="AN228" s="177" t="s">
        <v>684</v>
      </c>
      <c r="AO228" s="472"/>
      <c r="AP228" s="472"/>
      <c r="AQ228" s="472"/>
      <c r="AR228" s="135">
        <f>COUNTIF(B:B,B228)</f>
        <v>1</v>
      </c>
      <c r="AS228" s="135" t="str">
        <f t="shared" si="127"/>
        <v>2021_10_11_a</v>
      </c>
      <c r="AT228" s="136"/>
      <c r="AU228" s="135" t="str">
        <f t="shared" si="128"/>
        <v>2021</v>
      </c>
      <c r="AV228" s="135" t="str">
        <f t="shared" si="129"/>
        <v>10</v>
      </c>
      <c r="AW228" s="135" t="str">
        <f t="shared" si="130"/>
        <v>11</v>
      </c>
      <c r="AX228" s="135">
        <f t="shared" si="131"/>
        <v>44480</v>
      </c>
      <c r="AY228" s="137"/>
      <c r="AZ228" s="138">
        <f t="shared" si="132"/>
        <v>44480</v>
      </c>
      <c r="BA228" s="135" t="b">
        <f t="shared" si="133"/>
        <v>1</v>
      </c>
      <c r="BB228" s="135">
        <f t="shared" si="134"/>
        <v>44480</v>
      </c>
      <c r="BC228" s="135" t="str">
        <f t="shared" si="135"/>
        <v>no</v>
      </c>
      <c r="BD228" s="135" t="b">
        <f t="shared" si="136"/>
        <v>0</v>
      </c>
      <c r="BE228" s="139" t="s">
        <v>59</v>
      </c>
      <c r="BF228" s="136"/>
    </row>
    <row r="229" spans="1:58" s="126" customFormat="1" ht="154">
      <c r="A229" s="472"/>
      <c r="B229" s="472" t="s">
        <v>685</v>
      </c>
      <c r="C229" s="472"/>
      <c r="D229" s="472" t="s">
        <v>686</v>
      </c>
      <c r="E229" s="472"/>
      <c r="F229" s="471" t="s">
        <v>653</v>
      </c>
      <c r="G229" s="176" t="s">
        <v>687</v>
      </c>
      <c r="H229" s="175">
        <v>44536</v>
      </c>
      <c r="I229" s="175">
        <v>44547</v>
      </c>
      <c r="J229" s="175">
        <v>44508</v>
      </c>
      <c r="K229" s="176">
        <v>44559</v>
      </c>
      <c r="L229" s="176">
        <v>44564</v>
      </c>
      <c r="M229" s="176" t="s">
        <v>48</v>
      </c>
      <c r="N229" s="176"/>
      <c r="O229" s="472"/>
      <c r="P229" s="472"/>
      <c r="Q229" s="472" t="s">
        <v>106</v>
      </c>
      <c r="R229" s="472" t="s">
        <v>654</v>
      </c>
      <c r="S229" s="472">
        <f t="shared" si="137"/>
        <v>35</v>
      </c>
      <c r="T229" s="472"/>
      <c r="U229" s="23">
        <v>0</v>
      </c>
      <c r="V229" s="472">
        <v>35</v>
      </c>
      <c r="W229" s="472"/>
      <c r="X229" s="192" t="s">
        <v>688</v>
      </c>
      <c r="Y229" s="192"/>
      <c r="Z229" s="472"/>
      <c r="AA229" s="472"/>
      <c r="AB229" s="472"/>
      <c r="AC229" s="472"/>
      <c r="AD229" s="472"/>
      <c r="AE229" s="472"/>
      <c r="AF229" s="472"/>
      <c r="AG229" s="472" t="s">
        <v>85</v>
      </c>
      <c r="AH229" s="472" t="s">
        <v>86</v>
      </c>
      <c r="AI229" s="472"/>
      <c r="AJ229" s="472"/>
      <c r="AK229" s="472"/>
      <c r="AL229" s="472" t="s">
        <v>57</v>
      </c>
      <c r="AM229" s="177" t="s">
        <v>689</v>
      </c>
      <c r="AN229" s="177"/>
      <c r="AO229" s="472"/>
      <c r="AP229" s="472"/>
      <c r="AQ229" s="472"/>
      <c r="AR229" s="135">
        <f>COUNTIF(B:B,B229)</f>
        <v>1</v>
      </c>
      <c r="AS229" s="135" t="str">
        <f t="shared" si="127"/>
        <v>2021_12_06_a</v>
      </c>
      <c r="AT229" s="136"/>
      <c r="AU229" s="135" t="str">
        <f t="shared" si="128"/>
        <v>2021</v>
      </c>
      <c r="AV229" s="135" t="str">
        <f t="shared" si="129"/>
        <v>12</v>
      </c>
      <c r="AW229" s="135" t="str">
        <f t="shared" si="130"/>
        <v>06</v>
      </c>
      <c r="AX229" s="135">
        <f t="shared" si="131"/>
        <v>44536</v>
      </c>
      <c r="AY229" s="137"/>
      <c r="AZ229" s="138">
        <f t="shared" si="132"/>
        <v>44536</v>
      </c>
      <c r="BA229" s="135" t="b">
        <f t="shared" si="133"/>
        <v>1</v>
      </c>
      <c r="BB229" s="135">
        <f t="shared" si="134"/>
        <v>44536</v>
      </c>
      <c r="BC229" s="135" t="str">
        <f t="shared" si="135"/>
        <v>no</v>
      </c>
      <c r="BD229" s="135" t="b">
        <f t="shared" si="136"/>
        <v>0</v>
      </c>
      <c r="BE229" s="139" t="s">
        <v>59</v>
      </c>
      <c r="BF229" s="136"/>
    </row>
    <row r="230" spans="1:58" s="126" customFormat="1" ht="154">
      <c r="A230" s="472"/>
      <c r="B230" s="472" t="s">
        <v>690</v>
      </c>
      <c r="C230" s="472"/>
      <c r="D230" s="472" t="s">
        <v>691</v>
      </c>
      <c r="E230" s="472"/>
      <c r="F230" s="471" t="s">
        <v>653</v>
      </c>
      <c r="G230" s="176" t="s">
        <v>692</v>
      </c>
      <c r="H230" s="175">
        <v>44606</v>
      </c>
      <c r="I230" s="175">
        <v>44617</v>
      </c>
      <c r="J230" s="175">
        <v>44620</v>
      </c>
      <c r="K230" s="176">
        <v>44652</v>
      </c>
      <c r="L230" s="176">
        <v>44655</v>
      </c>
      <c r="M230" s="176" t="s">
        <v>48</v>
      </c>
      <c r="N230" s="176"/>
      <c r="O230" s="472"/>
      <c r="P230" s="472"/>
      <c r="Q230" s="472" t="s">
        <v>49</v>
      </c>
      <c r="R230" s="472" t="s">
        <v>654</v>
      </c>
      <c r="S230" s="472">
        <f t="shared" si="137"/>
        <v>14</v>
      </c>
      <c r="T230" s="472"/>
      <c r="U230" s="23">
        <v>0</v>
      </c>
      <c r="V230" s="472">
        <v>14</v>
      </c>
      <c r="W230" s="472"/>
      <c r="X230" s="192" t="s">
        <v>688</v>
      </c>
      <c r="Y230" s="192"/>
      <c r="Z230" s="472"/>
      <c r="AA230" s="472"/>
      <c r="AB230" s="472"/>
      <c r="AC230" s="472"/>
      <c r="AD230" s="472"/>
      <c r="AE230" s="472"/>
      <c r="AF230" s="472"/>
      <c r="AG230" s="472" t="s">
        <v>85</v>
      </c>
      <c r="AH230" s="472" t="s">
        <v>86</v>
      </c>
      <c r="AI230" s="472"/>
      <c r="AJ230" s="472"/>
      <c r="AK230" s="472"/>
      <c r="AL230" s="472" t="s">
        <v>57</v>
      </c>
      <c r="AM230" s="177" t="s">
        <v>689</v>
      </c>
      <c r="AN230" s="177"/>
      <c r="AO230" s="472"/>
      <c r="AP230" s="472"/>
      <c r="AQ230" s="472"/>
      <c r="AR230" s="135">
        <f>COUNTIF(B:B,B230)</f>
        <v>1</v>
      </c>
      <c r="AS230" s="135" t="str">
        <f t="shared" si="127"/>
        <v>2022_02_14_a</v>
      </c>
      <c r="AT230" s="136"/>
      <c r="AU230" s="135" t="str">
        <f t="shared" si="128"/>
        <v>2022</v>
      </c>
      <c r="AV230" s="135" t="str">
        <f t="shared" si="129"/>
        <v>02</v>
      </c>
      <c r="AW230" s="135" t="str">
        <f t="shared" si="130"/>
        <v>14</v>
      </c>
      <c r="AX230" s="135">
        <f t="shared" si="131"/>
        <v>44606</v>
      </c>
      <c r="AY230" s="137"/>
      <c r="AZ230" s="138">
        <f t="shared" si="132"/>
        <v>44606</v>
      </c>
      <c r="BA230" s="135" t="b">
        <f t="shared" si="133"/>
        <v>1</v>
      </c>
      <c r="BB230" s="135">
        <f t="shared" si="134"/>
        <v>44606</v>
      </c>
      <c r="BC230" s="135" t="str">
        <f t="shared" si="135"/>
        <v>no</v>
      </c>
      <c r="BD230" s="135" t="b">
        <f t="shared" si="136"/>
        <v>0</v>
      </c>
      <c r="BE230" s="139" t="s">
        <v>59</v>
      </c>
      <c r="BF230" s="136"/>
    </row>
    <row r="231" spans="1:58" s="126" customFormat="1" ht="154">
      <c r="A231" s="472"/>
      <c r="B231" s="472" t="s">
        <v>693</v>
      </c>
      <c r="C231" s="472"/>
      <c r="D231" s="472" t="s">
        <v>694</v>
      </c>
      <c r="E231" s="472"/>
      <c r="F231" s="471" t="s">
        <v>653</v>
      </c>
      <c r="G231" s="176" t="s">
        <v>695</v>
      </c>
      <c r="H231" s="175">
        <v>44641</v>
      </c>
      <c r="I231" s="175" t="s">
        <v>696</v>
      </c>
      <c r="J231" s="175">
        <v>44655</v>
      </c>
      <c r="K231" s="176">
        <v>44694</v>
      </c>
      <c r="L231" s="176">
        <v>44697</v>
      </c>
      <c r="M231" s="176" t="s">
        <v>48</v>
      </c>
      <c r="N231" s="176"/>
      <c r="O231" s="472"/>
      <c r="P231" s="472"/>
      <c r="Q231" s="472" t="s">
        <v>49</v>
      </c>
      <c r="R231" s="472" t="s">
        <v>654</v>
      </c>
      <c r="S231" s="472">
        <f t="shared" si="137"/>
        <v>38</v>
      </c>
      <c r="T231" s="472"/>
      <c r="U231" s="23">
        <v>0</v>
      </c>
      <c r="V231" s="472">
        <v>38</v>
      </c>
      <c r="W231" s="472"/>
      <c r="X231" s="192" t="s">
        <v>688</v>
      </c>
      <c r="Y231" s="192"/>
      <c r="Z231" s="472"/>
      <c r="AA231" s="472"/>
      <c r="AB231" s="472"/>
      <c r="AC231" s="472"/>
      <c r="AD231" s="472"/>
      <c r="AE231" s="472"/>
      <c r="AF231" s="472"/>
      <c r="AG231" s="472" t="s">
        <v>85</v>
      </c>
      <c r="AH231" s="472" t="s">
        <v>86</v>
      </c>
      <c r="AI231" s="472"/>
      <c r="AJ231" s="472"/>
      <c r="AK231" s="472"/>
      <c r="AL231" s="472" t="s">
        <v>57</v>
      </c>
      <c r="AM231" s="177" t="s">
        <v>689</v>
      </c>
      <c r="AN231" s="177"/>
      <c r="AO231" s="472"/>
      <c r="AP231" s="472"/>
      <c r="AQ231" s="472"/>
      <c r="AR231" s="135">
        <f>COUNTIF(B:B,B231)</f>
        <v>1</v>
      </c>
      <c r="AS231" s="135" t="str">
        <f t="shared" si="127"/>
        <v>2022_03_21_a</v>
      </c>
      <c r="AT231" s="136"/>
      <c r="AU231" s="135" t="str">
        <f t="shared" si="128"/>
        <v>2022</v>
      </c>
      <c r="AV231" s="135" t="str">
        <f t="shared" si="129"/>
        <v>03</v>
      </c>
      <c r="AW231" s="135" t="str">
        <f t="shared" si="130"/>
        <v>21</v>
      </c>
      <c r="AX231" s="135">
        <f t="shared" si="131"/>
        <v>44641</v>
      </c>
      <c r="AY231" s="137"/>
      <c r="AZ231" s="138">
        <f t="shared" si="132"/>
        <v>44641</v>
      </c>
      <c r="BA231" s="135" t="b">
        <f t="shared" si="133"/>
        <v>1</v>
      </c>
      <c r="BB231" s="135">
        <f t="shared" si="134"/>
        <v>44641</v>
      </c>
      <c r="BC231" s="135" t="str">
        <f t="shared" si="135"/>
        <v>no</v>
      </c>
      <c r="BD231" s="135" t="b">
        <f t="shared" si="136"/>
        <v>0</v>
      </c>
      <c r="BE231" s="139" t="s">
        <v>59</v>
      </c>
      <c r="BF231" s="136"/>
    </row>
    <row r="232" spans="1:58" s="126" customFormat="1" ht="154">
      <c r="A232" s="472"/>
      <c r="B232" s="472" t="s">
        <v>697</v>
      </c>
      <c r="C232" s="177"/>
      <c r="D232" s="472" t="s">
        <v>698</v>
      </c>
      <c r="E232" s="472"/>
      <c r="F232" s="471" t="s">
        <v>653</v>
      </c>
      <c r="G232" s="176" t="s">
        <v>699</v>
      </c>
      <c r="H232" s="175">
        <v>44704</v>
      </c>
      <c r="I232" s="175">
        <v>44715</v>
      </c>
      <c r="J232" s="175">
        <v>44718</v>
      </c>
      <c r="K232" s="175">
        <v>44757</v>
      </c>
      <c r="L232" s="175">
        <v>44781</v>
      </c>
      <c r="M232" s="176" t="s">
        <v>48</v>
      </c>
      <c r="N232" s="176"/>
      <c r="O232" s="472"/>
      <c r="P232" s="472"/>
      <c r="Q232" s="472" t="s">
        <v>82</v>
      </c>
      <c r="R232" s="472" t="s">
        <v>654</v>
      </c>
      <c r="S232" s="472">
        <f t="shared" si="137"/>
        <v>23</v>
      </c>
      <c r="T232" s="472"/>
      <c r="U232" s="23">
        <v>0</v>
      </c>
      <c r="V232" s="472">
        <v>23</v>
      </c>
      <c r="W232" s="472" t="s">
        <v>700</v>
      </c>
      <c r="X232" s="192" t="s">
        <v>701</v>
      </c>
      <c r="Y232" s="192"/>
      <c r="Z232" s="472"/>
      <c r="AA232" s="472"/>
      <c r="AB232" s="472"/>
      <c r="AC232" s="472"/>
      <c r="AD232" s="472"/>
      <c r="AE232" s="472"/>
      <c r="AF232" s="472"/>
      <c r="AG232" s="472" t="s">
        <v>85</v>
      </c>
      <c r="AH232" s="472" t="s">
        <v>283</v>
      </c>
      <c r="AI232" s="472"/>
      <c r="AJ232" s="472"/>
      <c r="AK232" s="472"/>
      <c r="AL232" s="472" t="s">
        <v>57</v>
      </c>
      <c r="AM232" s="177" t="s">
        <v>689</v>
      </c>
      <c r="AN232" s="177"/>
      <c r="AO232" s="472"/>
      <c r="AP232" s="472"/>
      <c r="AQ232" s="472"/>
      <c r="AR232" s="135">
        <f>COUNTIF(B:B,B232)</f>
        <v>1</v>
      </c>
      <c r="AS232" s="135" t="str">
        <f t="shared" si="127"/>
        <v>2022_05_23_a</v>
      </c>
      <c r="AT232" s="136"/>
      <c r="AU232" s="135" t="str">
        <f t="shared" si="128"/>
        <v>2022</v>
      </c>
      <c r="AV232" s="135" t="str">
        <f t="shared" si="129"/>
        <v>05</v>
      </c>
      <c r="AW232" s="135" t="str">
        <f t="shared" si="130"/>
        <v>23</v>
      </c>
      <c r="AX232" s="135">
        <f t="shared" si="131"/>
        <v>44704</v>
      </c>
      <c r="AY232" s="137"/>
      <c r="AZ232" s="138">
        <f t="shared" si="132"/>
        <v>44704</v>
      </c>
      <c r="BA232" s="135" t="b">
        <f t="shared" si="133"/>
        <v>1</v>
      </c>
      <c r="BB232" s="135">
        <f t="shared" si="134"/>
        <v>44704</v>
      </c>
      <c r="BC232" s="135" t="str">
        <f t="shared" si="135"/>
        <v>no</v>
      </c>
      <c r="BD232" s="135" t="b">
        <f t="shared" si="136"/>
        <v>0</v>
      </c>
      <c r="BE232" s="139" t="s">
        <v>59</v>
      </c>
      <c r="BF232" s="136"/>
    </row>
    <row r="233" spans="1:58" s="126" customFormat="1" ht="154">
      <c r="A233" s="472"/>
      <c r="B233" s="472" t="s">
        <v>702</v>
      </c>
      <c r="C233" s="472"/>
      <c r="D233" s="472" t="s">
        <v>703</v>
      </c>
      <c r="E233" s="472"/>
      <c r="F233" s="471" t="s">
        <v>653</v>
      </c>
      <c r="G233" s="176" t="s">
        <v>704</v>
      </c>
      <c r="H233" s="175">
        <v>44739</v>
      </c>
      <c r="I233" s="175">
        <v>44750</v>
      </c>
      <c r="J233" s="175">
        <v>44753</v>
      </c>
      <c r="K233" s="175">
        <v>44792</v>
      </c>
      <c r="L233" s="175">
        <v>44816</v>
      </c>
      <c r="M233" s="176" t="s">
        <v>48</v>
      </c>
      <c r="N233" s="176"/>
      <c r="O233" s="472"/>
      <c r="P233" s="472"/>
      <c r="Q233" s="472" t="s">
        <v>82</v>
      </c>
      <c r="R233" s="472" t="s">
        <v>654</v>
      </c>
      <c r="S233" s="472">
        <f t="shared" si="137"/>
        <v>47</v>
      </c>
      <c r="T233" s="472"/>
      <c r="U233" s="23">
        <v>0</v>
      </c>
      <c r="V233" s="472">
        <v>47</v>
      </c>
      <c r="W233" s="472" t="s">
        <v>700</v>
      </c>
      <c r="X233" s="192" t="s">
        <v>701</v>
      </c>
      <c r="Y233" s="192"/>
      <c r="Z233" s="472"/>
      <c r="AA233" s="472"/>
      <c r="AB233" s="472"/>
      <c r="AC233" s="472"/>
      <c r="AD233" s="472"/>
      <c r="AE233" s="472"/>
      <c r="AF233" s="472"/>
      <c r="AG233" s="472" t="s">
        <v>85</v>
      </c>
      <c r="AH233" s="472" t="s">
        <v>283</v>
      </c>
      <c r="AI233" s="472"/>
      <c r="AJ233" s="472"/>
      <c r="AK233" s="472"/>
      <c r="AL233" s="472" t="s">
        <v>57</v>
      </c>
      <c r="AM233" s="177" t="s">
        <v>689</v>
      </c>
      <c r="AN233" s="177"/>
      <c r="AO233" s="472"/>
      <c r="AP233" s="472"/>
      <c r="AQ233" s="472"/>
      <c r="AR233" s="135">
        <f>COUNTIF(B:B,B233)</f>
        <v>1</v>
      </c>
      <c r="AS233" s="135" t="str">
        <f t="shared" si="127"/>
        <v>2022_06_27_a</v>
      </c>
      <c r="AT233" s="136"/>
      <c r="AU233" s="135" t="str">
        <f t="shared" si="128"/>
        <v>2022</v>
      </c>
      <c r="AV233" s="135" t="str">
        <f t="shared" si="129"/>
        <v>06</v>
      </c>
      <c r="AW233" s="135" t="str">
        <f t="shared" si="130"/>
        <v>27</v>
      </c>
      <c r="AX233" s="135">
        <f t="shared" si="131"/>
        <v>44739</v>
      </c>
      <c r="AY233" s="137"/>
      <c r="AZ233" s="138">
        <f t="shared" si="132"/>
        <v>44739</v>
      </c>
      <c r="BA233" s="135" t="b">
        <f t="shared" si="133"/>
        <v>1</v>
      </c>
      <c r="BB233" s="135">
        <f t="shared" si="134"/>
        <v>44739</v>
      </c>
      <c r="BC233" s="135" t="str">
        <f t="shared" si="135"/>
        <v>no</v>
      </c>
      <c r="BD233" s="135" t="b">
        <f t="shared" si="136"/>
        <v>0</v>
      </c>
      <c r="BE233" s="139" t="s">
        <v>59</v>
      </c>
      <c r="BF233" s="136"/>
    </row>
    <row r="234" spans="1:58" s="126" customFormat="1" ht="154">
      <c r="A234" s="472"/>
      <c r="B234" s="472" t="s">
        <v>705</v>
      </c>
      <c r="C234" s="472"/>
      <c r="D234" s="472" t="s">
        <v>706</v>
      </c>
      <c r="E234" s="472"/>
      <c r="F234" s="471" t="s">
        <v>653</v>
      </c>
      <c r="G234" s="176" t="s">
        <v>707</v>
      </c>
      <c r="H234" s="175">
        <v>44830</v>
      </c>
      <c r="I234" s="175">
        <v>44841</v>
      </c>
      <c r="J234" s="175">
        <v>44774</v>
      </c>
      <c r="K234" s="175">
        <v>44792</v>
      </c>
      <c r="L234" s="175">
        <v>44844</v>
      </c>
      <c r="M234" s="176" t="s">
        <v>48</v>
      </c>
      <c r="N234" s="176"/>
      <c r="O234" s="472"/>
      <c r="P234" s="472"/>
      <c r="Q234" s="472" t="s">
        <v>93</v>
      </c>
      <c r="R234" s="472" t="s">
        <v>654</v>
      </c>
      <c r="S234" s="472">
        <f t="shared" si="137"/>
        <v>26</v>
      </c>
      <c r="T234" s="472"/>
      <c r="U234" s="23">
        <v>0</v>
      </c>
      <c r="V234" s="472">
        <v>26</v>
      </c>
      <c r="W234" s="472" t="s">
        <v>700</v>
      </c>
      <c r="X234" s="192" t="s">
        <v>701</v>
      </c>
      <c r="Y234" s="192"/>
      <c r="Z234" s="472"/>
      <c r="AA234" s="472"/>
      <c r="AB234" s="472"/>
      <c r="AC234" s="472"/>
      <c r="AD234" s="472"/>
      <c r="AE234" s="472"/>
      <c r="AF234" s="472"/>
      <c r="AG234" s="472" t="s">
        <v>85</v>
      </c>
      <c r="AH234" s="472" t="s">
        <v>283</v>
      </c>
      <c r="AI234" s="472"/>
      <c r="AJ234" s="472"/>
      <c r="AK234" s="472"/>
      <c r="AL234" s="472" t="s">
        <v>57</v>
      </c>
      <c r="AM234" s="177" t="s">
        <v>689</v>
      </c>
      <c r="AN234" s="177"/>
      <c r="AO234" s="472"/>
      <c r="AP234" s="472"/>
      <c r="AQ234" s="472"/>
      <c r="AR234" s="135">
        <f>COUNTIF(B:B,B234)</f>
        <v>1</v>
      </c>
      <c r="AS234" s="135" t="str">
        <f t="shared" si="127"/>
        <v>2022_09_26_a</v>
      </c>
      <c r="AT234" s="136"/>
      <c r="AU234" s="135" t="str">
        <f t="shared" si="128"/>
        <v>2022</v>
      </c>
      <c r="AV234" s="135" t="str">
        <f t="shared" si="129"/>
        <v>09</v>
      </c>
      <c r="AW234" s="135" t="str">
        <f t="shared" si="130"/>
        <v>26</v>
      </c>
      <c r="AX234" s="135">
        <f t="shared" si="131"/>
        <v>44830</v>
      </c>
      <c r="AY234" s="137"/>
      <c r="AZ234" s="138">
        <f t="shared" si="132"/>
        <v>44830</v>
      </c>
      <c r="BA234" s="135" t="b">
        <f t="shared" si="133"/>
        <v>1</v>
      </c>
      <c r="BB234" s="135">
        <f t="shared" si="134"/>
        <v>44830</v>
      </c>
      <c r="BC234" s="135" t="str">
        <f t="shared" si="135"/>
        <v>no</v>
      </c>
      <c r="BD234" s="135" t="b">
        <f t="shared" si="136"/>
        <v>0</v>
      </c>
      <c r="BE234" s="139" t="s">
        <v>59</v>
      </c>
      <c r="BF234" s="136"/>
    </row>
    <row r="235" spans="1:58" s="126" customFormat="1" ht="154">
      <c r="A235" s="472"/>
      <c r="B235" s="472" t="s">
        <v>708</v>
      </c>
      <c r="C235" s="472"/>
      <c r="D235" s="338"/>
      <c r="E235" s="472"/>
      <c r="F235" s="471" t="s">
        <v>653</v>
      </c>
      <c r="G235" s="176"/>
      <c r="H235" s="175">
        <v>44984</v>
      </c>
      <c r="I235" s="175">
        <v>44995</v>
      </c>
      <c r="J235" s="175">
        <v>44858</v>
      </c>
      <c r="K235" s="175">
        <v>45037</v>
      </c>
      <c r="L235" s="175">
        <v>45040</v>
      </c>
      <c r="M235" s="176" t="s">
        <v>48</v>
      </c>
      <c r="N235" s="176"/>
      <c r="O235" s="472"/>
      <c r="P235" s="472"/>
      <c r="Q235" s="472" t="s">
        <v>49</v>
      </c>
      <c r="R235" s="472" t="s">
        <v>654</v>
      </c>
      <c r="S235" s="472">
        <f t="shared" si="137"/>
        <v>16</v>
      </c>
      <c r="T235" s="472">
        <v>30</v>
      </c>
      <c r="U235" s="23">
        <v>0</v>
      </c>
      <c r="V235" s="472">
        <v>16</v>
      </c>
      <c r="W235" s="472" t="s">
        <v>527</v>
      </c>
      <c r="X235" s="192" t="s">
        <v>701</v>
      </c>
      <c r="Y235" s="192"/>
      <c r="Z235" s="472"/>
      <c r="AA235" s="472"/>
      <c r="AB235" s="472"/>
      <c r="AC235" s="472"/>
      <c r="AD235" s="472"/>
      <c r="AE235" s="472"/>
      <c r="AF235" s="472"/>
      <c r="AG235" s="472" t="s">
        <v>85</v>
      </c>
      <c r="AH235" s="472" t="s">
        <v>283</v>
      </c>
      <c r="AI235" s="472"/>
      <c r="AJ235" s="472"/>
      <c r="AK235" s="472"/>
      <c r="AL235" s="472" t="s">
        <v>57</v>
      </c>
      <c r="AM235" s="177" t="s">
        <v>709</v>
      </c>
      <c r="AN235" s="177"/>
      <c r="AO235" s="472"/>
      <c r="AP235" s="472"/>
      <c r="AQ235" s="472"/>
      <c r="AR235" s="135">
        <f>COUNTIF(B:B,B235)</f>
        <v>1</v>
      </c>
      <c r="AS235" s="135" t="str">
        <f t="shared" si="127"/>
        <v>2023_02_27_a</v>
      </c>
      <c r="AT235" s="136"/>
      <c r="AU235" s="135" t="str">
        <f t="shared" si="128"/>
        <v>2023</v>
      </c>
      <c r="AV235" s="135" t="str">
        <f t="shared" si="129"/>
        <v>02</v>
      </c>
      <c r="AW235" s="135" t="str">
        <f t="shared" si="130"/>
        <v>27</v>
      </c>
      <c r="AX235" s="135">
        <f t="shared" si="131"/>
        <v>44984</v>
      </c>
      <c r="AY235" s="137"/>
      <c r="AZ235" s="138">
        <f t="shared" si="132"/>
        <v>44984</v>
      </c>
      <c r="BA235" s="135" t="b">
        <f t="shared" si="133"/>
        <v>1</v>
      </c>
      <c r="BB235" s="135">
        <f t="shared" si="134"/>
        <v>44984</v>
      </c>
      <c r="BC235" s="135" t="str">
        <f t="shared" si="135"/>
        <v>no</v>
      </c>
      <c r="BD235" s="135" t="b">
        <f t="shared" si="136"/>
        <v>0</v>
      </c>
      <c r="BE235" s="139" t="s">
        <v>59</v>
      </c>
      <c r="BF235" s="136"/>
    </row>
    <row r="236" spans="1:58" s="126" customFormat="1" ht="154">
      <c r="A236" s="472"/>
      <c r="B236" s="472"/>
      <c r="C236" s="472"/>
      <c r="D236" s="472"/>
      <c r="E236" s="472"/>
      <c r="F236" s="492" t="s">
        <v>363</v>
      </c>
      <c r="G236" s="492"/>
      <c r="H236" s="492"/>
      <c r="I236" s="492"/>
      <c r="J236" s="492"/>
      <c r="K236" s="492"/>
      <c r="L236" s="492"/>
      <c r="M236" s="492"/>
      <c r="N236" s="492"/>
      <c r="O236" s="492"/>
      <c r="P236" s="492"/>
      <c r="Q236" s="492"/>
      <c r="R236" s="492"/>
      <c r="S236" s="472">
        <v>0</v>
      </c>
      <c r="T236" s="472"/>
      <c r="U236" s="23">
        <f>SUMIFS(U221:U221, AA221:AA221, "=In Progress")</f>
        <v>0</v>
      </c>
      <c r="V236" s="472">
        <f>SUMIFS(V221:V221, Z221:Z221, "=In Progress")</f>
        <v>0</v>
      </c>
      <c r="W236" s="472"/>
      <c r="X236" s="192"/>
      <c r="Y236" s="192"/>
      <c r="Z236" s="472"/>
      <c r="AA236" s="472">
        <f>COUNTIFS(AA221:AA221, "=In Progress")</f>
        <v>1</v>
      </c>
      <c r="AB236" s="472"/>
      <c r="AC236" s="472"/>
      <c r="AD236" s="472"/>
      <c r="AE236" s="472"/>
      <c r="AF236" s="472"/>
      <c r="AG236" s="472"/>
      <c r="AH236" s="472"/>
      <c r="AI236" s="472"/>
      <c r="AJ236" s="472"/>
      <c r="AK236" s="472"/>
      <c r="AL236" s="472"/>
      <c r="AM236" s="472"/>
      <c r="AN236" s="472"/>
      <c r="AO236" s="472"/>
      <c r="AP236" s="472"/>
      <c r="AQ236" s="472"/>
      <c r="AR236" s="135">
        <f>COUNTIF(B:B,B236)</f>
        <v>0</v>
      </c>
      <c r="AS236" s="135">
        <f t="shared" si="127"/>
        <v>0</v>
      </c>
      <c r="AT236" s="136"/>
      <c r="AU236" s="135" t="str">
        <f t="shared" si="128"/>
        <v>0</v>
      </c>
      <c r="AV236" s="135" t="str">
        <f t="shared" si="129"/>
        <v/>
      </c>
      <c r="AW236" s="135" t="str">
        <f t="shared" si="130"/>
        <v/>
      </c>
      <c r="AX236" s="135" t="str">
        <f t="shared" si="131"/>
        <v xml:space="preserve"> </v>
      </c>
      <c r="AY236" s="137"/>
      <c r="AZ236" s="138">
        <f t="shared" si="132"/>
        <v>0</v>
      </c>
      <c r="BA236" s="135" t="str">
        <f t="shared" si="133"/>
        <v xml:space="preserve"> </v>
      </c>
      <c r="BB236" s="135">
        <f t="shared" si="134"/>
        <v>0</v>
      </c>
      <c r="BC236" s="135" t="str">
        <f t="shared" si="135"/>
        <v>no</v>
      </c>
      <c r="BD236" s="135" t="b">
        <f t="shared" si="136"/>
        <v>1</v>
      </c>
      <c r="BE236" s="139" t="s">
        <v>59</v>
      </c>
      <c r="BF236" s="136"/>
    </row>
    <row r="237" spans="1:58" s="126" customFormat="1" ht="154">
      <c r="A237" s="472"/>
      <c r="B237" s="472"/>
      <c r="C237" s="472"/>
      <c r="D237" s="472"/>
      <c r="E237" s="472"/>
      <c r="F237" s="492" t="s">
        <v>223</v>
      </c>
      <c r="G237" s="493"/>
      <c r="H237" s="493"/>
      <c r="I237" s="493"/>
      <c r="J237" s="493"/>
      <c r="K237" s="493"/>
      <c r="L237" s="493"/>
      <c r="M237" s="493"/>
      <c r="N237" s="493"/>
      <c r="O237" s="493"/>
      <c r="P237" s="493"/>
      <c r="Q237" s="493"/>
      <c r="R237" s="493"/>
      <c r="S237" s="472">
        <f>SUMIFS(S221:S221, AA221:AA221, "=Planned")</f>
        <v>0</v>
      </c>
      <c r="T237" s="472"/>
      <c r="U237" s="23">
        <f>SUMIFS(U221:U221, AA221:AA221, "=Planned")</f>
        <v>0</v>
      </c>
      <c r="V237" s="472">
        <f>SUMIFS(V221:V221, Z221:Z221, "=Planned")</f>
        <v>0</v>
      </c>
      <c r="W237" s="472"/>
      <c r="X237" s="192"/>
      <c r="Y237" s="192"/>
      <c r="Z237" s="472"/>
      <c r="AA237" s="472">
        <f>COUNTIFS(AA221:AA221, "=Planned")</f>
        <v>0</v>
      </c>
      <c r="AB237" s="472"/>
      <c r="AC237" s="472"/>
      <c r="AD237" s="472"/>
      <c r="AE237" s="472"/>
      <c r="AF237" s="472"/>
      <c r="AG237" s="472">
        <f>COUNTIFS(AG221:AG221, "=New")</f>
        <v>0</v>
      </c>
      <c r="AH237" s="472">
        <f>COUNTIFS(AH221:AH221, "=F2F")</f>
        <v>0</v>
      </c>
      <c r="AI237" s="472"/>
      <c r="AJ237" s="472"/>
      <c r="AK237" s="472"/>
      <c r="AL237" s="472"/>
      <c r="AM237" s="472"/>
      <c r="AN237" s="472"/>
      <c r="AO237" s="472"/>
      <c r="AP237" s="472"/>
      <c r="AQ237" s="472"/>
      <c r="AR237" s="135">
        <f>COUNTIF(B:B,B237)</f>
        <v>0</v>
      </c>
      <c r="AS237" s="135">
        <f t="shared" si="127"/>
        <v>0</v>
      </c>
      <c r="AT237" s="136"/>
      <c r="AU237" s="135" t="str">
        <f t="shared" si="128"/>
        <v>0</v>
      </c>
      <c r="AV237" s="135" t="str">
        <f t="shared" si="129"/>
        <v/>
      </c>
      <c r="AW237" s="135" t="str">
        <f t="shared" si="130"/>
        <v/>
      </c>
      <c r="AX237" s="135" t="str">
        <f t="shared" si="131"/>
        <v xml:space="preserve"> </v>
      </c>
      <c r="AY237" s="137"/>
      <c r="AZ237" s="138">
        <f t="shared" si="132"/>
        <v>0</v>
      </c>
      <c r="BA237" s="135" t="str">
        <f t="shared" si="133"/>
        <v xml:space="preserve"> </v>
      </c>
      <c r="BB237" s="135">
        <f t="shared" si="134"/>
        <v>0</v>
      </c>
      <c r="BC237" s="135" t="str">
        <f t="shared" si="135"/>
        <v>no</v>
      </c>
      <c r="BD237" s="135" t="b">
        <f t="shared" si="136"/>
        <v>1</v>
      </c>
      <c r="BE237" s="139" t="s">
        <v>59</v>
      </c>
      <c r="BF237" s="136"/>
    </row>
    <row r="238" spans="1:58" s="126" customFormat="1" ht="154">
      <c r="A238" s="472"/>
      <c r="B238" s="472"/>
      <c r="C238" s="472"/>
      <c r="D238" s="472"/>
      <c r="E238" s="472"/>
      <c r="F238" s="492" t="s">
        <v>224</v>
      </c>
      <c r="G238" s="492"/>
      <c r="H238" s="492"/>
      <c r="I238" s="492"/>
      <c r="J238" s="492"/>
      <c r="K238" s="492"/>
      <c r="L238" s="492"/>
      <c r="M238" s="492"/>
      <c r="N238" s="492"/>
      <c r="O238" s="492"/>
      <c r="P238" s="492"/>
      <c r="Q238" s="492"/>
      <c r="R238" s="492"/>
      <c r="S238" s="472">
        <f>SUMIFS(S221:S221, AA221:AA221, "=Tentative")</f>
        <v>0</v>
      </c>
      <c r="T238" s="472"/>
      <c r="U238" s="23">
        <f>SUMIFS(U221:U221, AA221:AA221, "=Tentative")</f>
        <v>0</v>
      </c>
      <c r="V238" s="472">
        <f>SUMIFS(V221:V221, Z221:Z221, "=Tentative")</f>
        <v>0</v>
      </c>
      <c r="W238" s="472"/>
      <c r="X238" s="192"/>
      <c r="Y238" s="192"/>
      <c r="Z238" s="472"/>
      <c r="AA238" s="472">
        <f>COUNTIFS(AA221:AA221, "=Tentative")</f>
        <v>0</v>
      </c>
      <c r="AB238" s="472"/>
      <c r="AC238" s="472"/>
      <c r="AD238" s="472"/>
      <c r="AE238" s="472"/>
      <c r="AF238" s="472"/>
      <c r="AG238" s="472"/>
      <c r="AH238" s="472"/>
      <c r="AI238" s="472"/>
      <c r="AJ238" s="472"/>
      <c r="AK238" s="472"/>
      <c r="AL238" s="472"/>
      <c r="AM238" s="472"/>
      <c r="AN238" s="472"/>
      <c r="AO238" s="472"/>
      <c r="AP238" s="472"/>
      <c r="AQ238" s="472"/>
      <c r="AR238" s="135">
        <f>COUNTIF(B:B,B238)</f>
        <v>0</v>
      </c>
      <c r="AS238" s="135">
        <f t="shared" si="127"/>
        <v>0</v>
      </c>
      <c r="AT238" s="136"/>
      <c r="AU238" s="135" t="str">
        <f t="shared" si="128"/>
        <v>0</v>
      </c>
      <c r="AV238" s="135" t="str">
        <f t="shared" si="129"/>
        <v/>
      </c>
      <c r="AW238" s="135" t="str">
        <f t="shared" si="130"/>
        <v/>
      </c>
      <c r="AX238" s="135" t="str">
        <f t="shared" si="131"/>
        <v xml:space="preserve"> </v>
      </c>
      <c r="AY238" s="137"/>
      <c r="AZ238" s="138">
        <f t="shared" si="132"/>
        <v>0</v>
      </c>
      <c r="BA238" s="135" t="str">
        <f t="shared" si="133"/>
        <v xml:space="preserve"> </v>
      </c>
      <c r="BB238" s="135">
        <f t="shared" si="134"/>
        <v>0</v>
      </c>
      <c r="BC238" s="135" t="str">
        <f t="shared" si="135"/>
        <v>no</v>
      </c>
      <c r="BD238" s="135" t="b">
        <f t="shared" si="136"/>
        <v>1</v>
      </c>
      <c r="BE238" s="139" t="s">
        <v>59</v>
      </c>
      <c r="BF238" s="136"/>
    </row>
    <row r="239" spans="1:58" s="126" customFormat="1" ht="154">
      <c r="A239" s="472"/>
      <c r="B239" s="472"/>
      <c r="C239" s="472"/>
      <c r="D239" s="472"/>
      <c r="E239" s="472"/>
      <c r="F239" s="494" t="s">
        <v>225</v>
      </c>
      <c r="G239" s="493"/>
      <c r="H239" s="493"/>
      <c r="I239" s="493"/>
      <c r="J239" s="493"/>
      <c r="K239" s="493"/>
      <c r="L239" s="493"/>
      <c r="M239" s="493"/>
      <c r="N239" s="493"/>
      <c r="O239" s="493"/>
      <c r="P239" s="493"/>
      <c r="Q239" s="493"/>
      <c r="R239" s="493"/>
      <c r="S239" s="473">
        <f>SUM(S221:S221)</f>
        <v>17</v>
      </c>
      <c r="T239" s="472"/>
      <c r="U239" s="193">
        <f>SUM(U221:U221)</f>
        <v>0</v>
      </c>
      <c r="V239" s="473">
        <f>SUM(V221:V221)</f>
        <v>17</v>
      </c>
      <c r="W239" s="472"/>
      <c r="X239" s="192"/>
      <c r="Y239" s="192"/>
      <c r="Z239" s="472"/>
      <c r="AA239" s="472"/>
      <c r="AB239" s="472"/>
      <c r="AC239" s="472"/>
      <c r="AD239" s="472"/>
      <c r="AE239" s="472"/>
      <c r="AF239" s="472"/>
      <c r="AG239" s="472"/>
      <c r="AH239" s="472"/>
      <c r="AI239" s="472"/>
      <c r="AJ239" s="472"/>
      <c r="AK239" s="472"/>
      <c r="AL239" s="472"/>
      <c r="AM239" s="472"/>
      <c r="AN239" s="472"/>
      <c r="AO239" s="472"/>
      <c r="AP239" s="472"/>
      <c r="AQ239" s="472"/>
      <c r="AR239" s="135">
        <f>COUNTIF(B:B,B239)</f>
        <v>0</v>
      </c>
      <c r="AS239" s="135">
        <f t="shared" si="127"/>
        <v>0</v>
      </c>
      <c r="AT239" s="136"/>
      <c r="AU239" s="135" t="str">
        <f t="shared" si="128"/>
        <v>0</v>
      </c>
      <c r="AV239" s="135" t="str">
        <f t="shared" si="129"/>
        <v/>
      </c>
      <c r="AW239" s="135" t="str">
        <f t="shared" si="130"/>
        <v/>
      </c>
      <c r="AX239" s="135" t="str">
        <f t="shared" si="131"/>
        <v xml:space="preserve"> </v>
      </c>
      <c r="AY239" s="137"/>
      <c r="AZ239" s="138">
        <f t="shared" si="132"/>
        <v>0</v>
      </c>
      <c r="BA239" s="135" t="str">
        <f t="shared" si="133"/>
        <v xml:space="preserve"> </v>
      </c>
      <c r="BB239" s="135">
        <f t="shared" si="134"/>
        <v>0</v>
      </c>
      <c r="BC239" s="135" t="str">
        <f t="shared" si="135"/>
        <v>no</v>
      </c>
      <c r="BD239" s="135" t="b">
        <f t="shared" si="136"/>
        <v>0</v>
      </c>
      <c r="BE239" s="139" t="s">
        <v>59</v>
      </c>
      <c r="BF239" s="136"/>
    </row>
    <row r="240" spans="1:58" s="342" customFormat="1" ht="154">
      <c r="A240" s="342" t="s">
        <v>710</v>
      </c>
      <c r="B240" s="342" t="s">
        <v>711</v>
      </c>
      <c r="C240" s="342" t="s">
        <v>712</v>
      </c>
      <c r="D240" s="342">
        <v>10082607</v>
      </c>
      <c r="E240" s="343" t="s">
        <v>80</v>
      </c>
      <c r="F240" s="343" t="s">
        <v>713</v>
      </c>
      <c r="G240" s="344" t="s">
        <v>714</v>
      </c>
      <c r="H240" s="345">
        <v>43965</v>
      </c>
      <c r="I240" s="344">
        <v>43984</v>
      </c>
      <c r="J240" s="345">
        <v>43985</v>
      </c>
      <c r="K240" s="344">
        <f>WORKDAY(J240,30)</f>
        <v>44027</v>
      </c>
      <c r="L240" s="344" t="s">
        <v>715</v>
      </c>
      <c r="M240" s="344" t="s">
        <v>48</v>
      </c>
      <c r="N240" s="344" t="s">
        <v>48</v>
      </c>
      <c r="O240" s="344"/>
      <c r="P240" s="344"/>
      <c r="Q240" s="342" t="s">
        <v>82</v>
      </c>
      <c r="R240" s="342" t="s">
        <v>716</v>
      </c>
      <c r="S240" s="332">
        <f t="shared" ref="S240:S303" si="138">U240+V240</f>
        <v>32</v>
      </c>
      <c r="T240" s="342">
        <v>25</v>
      </c>
      <c r="U240" s="342">
        <v>0</v>
      </c>
      <c r="V240" s="332">
        <v>32</v>
      </c>
      <c r="W240" s="342" t="s">
        <v>717</v>
      </c>
      <c r="Z240" s="342" t="s">
        <v>52</v>
      </c>
      <c r="AA240" s="344" t="s">
        <v>53</v>
      </c>
      <c r="AB240" s="342" t="s">
        <v>52</v>
      </c>
      <c r="AC240" s="342" t="s">
        <v>48</v>
      </c>
      <c r="AD240" s="342" t="s">
        <v>52</v>
      </c>
      <c r="AE240" s="342" t="s">
        <v>54</v>
      </c>
      <c r="AF240" s="342" t="s">
        <v>54</v>
      </c>
      <c r="AG240" s="342" t="s">
        <v>85</v>
      </c>
      <c r="AH240" s="342" t="s">
        <v>86</v>
      </c>
      <c r="AI240" s="342" t="s">
        <v>48</v>
      </c>
      <c r="AK240" s="342">
        <v>71</v>
      </c>
      <c r="AL240" s="342" t="s">
        <v>718</v>
      </c>
      <c r="AN240" s="342" t="s">
        <v>719</v>
      </c>
      <c r="AR240" s="135">
        <f>COUNTIF(B:B,B240)</f>
        <v>1</v>
      </c>
      <c r="AS240" s="135" t="str">
        <f t="shared" si="127"/>
        <v>2020_05_14_a</v>
      </c>
      <c r="AT240" s="136"/>
      <c r="AU240" s="135" t="str">
        <f t="shared" si="128"/>
        <v>2020</v>
      </c>
      <c r="AV240" s="135" t="str">
        <f t="shared" si="129"/>
        <v>05</v>
      </c>
      <c r="AW240" s="135" t="str">
        <f t="shared" si="130"/>
        <v>14</v>
      </c>
      <c r="AX240" s="135">
        <f t="shared" si="131"/>
        <v>43965</v>
      </c>
      <c r="AY240" s="137"/>
      <c r="AZ240" s="138">
        <f t="shared" si="132"/>
        <v>43965</v>
      </c>
      <c r="BA240" s="135" t="b">
        <f t="shared" si="133"/>
        <v>1</v>
      </c>
      <c r="BB240" s="135">
        <f t="shared" si="134"/>
        <v>43965</v>
      </c>
      <c r="BC240" s="135" t="str">
        <f t="shared" si="135"/>
        <v>no</v>
      </c>
      <c r="BD240" s="135" t="b">
        <f t="shared" si="136"/>
        <v>0</v>
      </c>
      <c r="BE240" s="139" t="s">
        <v>59</v>
      </c>
      <c r="BF240" s="350"/>
    </row>
    <row r="241" spans="1:58" s="346" customFormat="1" ht="154">
      <c r="A241" s="336" t="s">
        <v>720</v>
      </c>
      <c r="B241" s="336" t="s">
        <v>721</v>
      </c>
      <c r="C241" s="346" t="s">
        <v>722</v>
      </c>
      <c r="D241" s="346">
        <v>10082802</v>
      </c>
      <c r="E241" s="347" t="s">
        <v>80</v>
      </c>
      <c r="F241" s="347" t="s">
        <v>713</v>
      </c>
      <c r="G241" s="348" t="s">
        <v>723</v>
      </c>
      <c r="H241" s="349">
        <v>43966</v>
      </c>
      <c r="I241" s="348">
        <v>43984</v>
      </c>
      <c r="J241" s="349">
        <v>43985</v>
      </c>
      <c r="K241" s="348">
        <f t="shared" ref="K241:K258" si="139">WORKDAY(J241,30)</f>
        <v>44027</v>
      </c>
      <c r="L241" s="348" t="s">
        <v>724</v>
      </c>
      <c r="M241" s="348" t="s">
        <v>48</v>
      </c>
      <c r="N241" s="348" t="s">
        <v>48</v>
      </c>
      <c r="O241" s="348"/>
      <c r="P241" s="348"/>
      <c r="Q241" s="346" t="s">
        <v>82</v>
      </c>
      <c r="R241" s="346" t="s">
        <v>725</v>
      </c>
      <c r="S241" s="332">
        <f t="shared" si="138"/>
        <v>11</v>
      </c>
      <c r="T241" s="346">
        <f>SUM(V241)</f>
        <v>11</v>
      </c>
      <c r="U241" s="346">
        <v>0</v>
      </c>
      <c r="V241" s="332">
        <v>11</v>
      </c>
      <c r="W241" s="346" t="s">
        <v>717</v>
      </c>
      <c r="X241" s="350"/>
      <c r="Y241" s="332"/>
      <c r="Z241" s="346" t="s">
        <v>52</v>
      </c>
      <c r="AA241" s="348" t="s">
        <v>53</v>
      </c>
      <c r="AB241" s="346" t="s">
        <v>52</v>
      </c>
      <c r="AC241" s="346" t="s">
        <v>48</v>
      </c>
      <c r="AD241" s="346" t="s">
        <v>52</v>
      </c>
      <c r="AE241" s="346" t="s">
        <v>54</v>
      </c>
      <c r="AF241" s="346" t="s">
        <v>54</v>
      </c>
      <c r="AG241" s="346" t="s">
        <v>85</v>
      </c>
      <c r="AH241" s="346" t="s">
        <v>86</v>
      </c>
      <c r="AI241" s="346" t="s">
        <v>48</v>
      </c>
      <c r="AK241" s="346">
        <v>86</v>
      </c>
      <c r="AL241" s="346" t="s">
        <v>718</v>
      </c>
      <c r="AN241" s="346" t="s">
        <v>719</v>
      </c>
      <c r="AR241" s="135">
        <f>COUNTIF(B:B,B241)</f>
        <v>1</v>
      </c>
      <c r="AS241" s="135" t="str">
        <f t="shared" si="127"/>
        <v>2020_05_15_a</v>
      </c>
      <c r="AT241" s="136"/>
      <c r="AU241" s="135" t="str">
        <f t="shared" si="128"/>
        <v>2020</v>
      </c>
      <c r="AV241" s="135" t="str">
        <f t="shared" si="129"/>
        <v>05</v>
      </c>
      <c r="AW241" s="135" t="str">
        <f t="shared" si="130"/>
        <v>15</v>
      </c>
      <c r="AX241" s="135">
        <f t="shared" si="131"/>
        <v>43966</v>
      </c>
      <c r="AY241" s="137"/>
      <c r="AZ241" s="138">
        <f t="shared" si="132"/>
        <v>43966</v>
      </c>
      <c r="BA241" s="135" t="b">
        <f t="shared" si="133"/>
        <v>1</v>
      </c>
      <c r="BB241" s="135">
        <f t="shared" si="134"/>
        <v>43966</v>
      </c>
      <c r="BC241" s="135" t="str">
        <f t="shared" si="135"/>
        <v>no</v>
      </c>
      <c r="BD241" s="135" t="b">
        <f t="shared" si="136"/>
        <v>0</v>
      </c>
      <c r="BE241" s="139" t="s">
        <v>59</v>
      </c>
      <c r="BF241" s="350"/>
    </row>
    <row r="242" spans="1:58" s="346" customFormat="1" ht="154">
      <c r="A242" s="336" t="s">
        <v>726</v>
      </c>
      <c r="B242" s="336" t="s">
        <v>727</v>
      </c>
      <c r="C242" s="346" t="s">
        <v>728</v>
      </c>
      <c r="D242" s="346">
        <v>10083268</v>
      </c>
      <c r="E242" s="347" t="s">
        <v>80</v>
      </c>
      <c r="F242" s="347" t="s">
        <v>713</v>
      </c>
      <c r="G242" s="348" t="s">
        <v>729</v>
      </c>
      <c r="H242" s="349">
        <v>43977</v>
      </c>
      <c r="I242" s="348">
        <v>43994</v>
      </c>
      <c r="J242" s="349">
        <v>43997</v>
      </c>
      <c r="K242" s="348">
        <f t="shared" si="139"/>
        <v>44039</v>
      </c>
      <c r="L242" s="348" t="s">
        <v>730</v>
      </c>
      <c r="M242" s="348" t="s">
        <v>48</v>
      </c>
      <c r="N242" s="348" t="s">
        <v>48</v>
      </c>
      <c r="O242" s="348"/>
      <c r="P242" s="348"/>
      <c r="Q242" s="346" t="s">
        <v>82</v>
      </c>
      <c r="R242" s="346" t="s">
        <v>731</v>
      </c>
      <c r="S242" s="332">
        <f t="shared" si="138"/>
        <v>5</v>
      </c>
      <c r="T242" s="346">
        <v>25</v>
      </c>
      <c r="U242" s="346">
        <v>0</v>
      </c>
      <c r="V242" s="332">
        <v>5</v>
      </c>
      <c r="W242" s="346" t="s">
        <v>717</v>
      </c>
      <c r="X242" s="350"/>
      <c r="Y242" s="332"/>
      <c r="Z242" s="346" t="s">
        <v>52</v>
      </c>
      <c r="AA242" s="348" t="s">
        <v>53</v>
      </c>
      <c r="AB242" s="346" t="s">
        <v>52</v>
      </c>
      <c r="AC242" s="346" t="s">
        <v>48</v>
      </c>
      <c r="AD242" s="346" t="s">
        <v>52</v>
      </c>
      <c r="AE242" s="346" t="s">
        <v>54</v>
      </c>
      <c r="AF242" s="346" t="s">
        <v>54</v>
      </c>
      <c r="AG242" s="346" t="s">
        <v>85</v>
      </c>
      <c r="AH242" s="346" t="s">
        <v>86</v>
      </c>
      <c r="AI242" s="346" t="s">
        <v>48</v>
      </c>
      <c r="AK242" s="346">
        <v>75</v>
      </c>
      <c r="AL242" s="346" t="s">
        <v>718</v>
      </c>
      <c r="AN242" s="346" t="s">
        <v>719</v>
      </c>
      <c r="AR242" s="135">
        <f>COUNTIF(B:B,B242)</f>
        <v>1</v>
      </c>
      <c r="AS242" s="135" t="str">
        <f t="shared" si="127"/>
        <v>2020_05_26_a</v>
      </c>
      <c r="AT242" s="136"/>
      <c r="AU242" s="135" t="str">
        <f t="shared" si="128"/>
        <v>2020</v>
      </c>
      <c r="AV242" s="135" t="str">
        <f t="shared" si="129"/>
        <v>05</v>
      </c>
      <c r="AW242" s="135" t="str">
        <f t="shared" si="130"/>
        <v>26</v>
      </c>
      <c r="AX242" s="135">
        <f t="shared" si="131"/>
        <v>43977</v>
      </c>
      <c r="AY242" s="137"/>
      <c r="AZ242" s="138">
        <f t="shared" si="132"/>
        <v>43977</v>
      </c>
      <c r="BA242" s="135" t="b">
        <f t="shared" si="133"/>
        <v>1</v>
      </c>
      <c r="BB242" s="135">
        <f t="shared" si="134"/>
        <v>43977</v>
      </c>
      <c r="BC242" s="135" t="str">
        <f t="shared" si="135"/>
        <v>no</v>
      </c>
      <c r="BD242" s="135" t="b">
        <f t="shared" si="136"/>
        <v>0</v>
      </c>
      <c r="BE242" s="139" t="s">
        <v>59</v>
      </c>
      <c r="BF242" s="350"/>
    </row>
    <row r="243" spans="1:58" s="331" customFormat="1" ht="154">
      <c r="A243" s="336" t="s">
        <v>732</v>
      </c>
      <c r="B243" s="336" t="s">
        <v>733</v>
      </c>
      <c r="C243" s="338" t="s">
        <v>734</v>
      </c>
      <c r="D243" s="338">
        <v>10084083</v>
      </c>
      <c r="E243" s="338"/>
      <c r="F243" s="351" t="s">
        <v>713</v>
      </c>
      <c r="G243" s="352" t="s">
        <v>735</v>
      </c>
      <c r="H243" s="353">
        <v>43991</v>
      </c>
      <c r="I243" s="352">
        <v>44015</v>
      </c>
      <c r="J243" s="353">
        <v>44020</v>
      </c>
      <c r="K243" s="352">
        <f>WORKDAY(J243,30)</f>
        <v>44062</v>
      </c>
      <c r="L243" s="352" t="s">
        <v>736</v>
      </c>
      <c r="M243" s="352" t="s">
        <v>48</v>
      </c>
      <c r="N243" s="352" t="s">
        <v>48</v>
      </c>
      <c r="O243" s="352"/>
      <c r="P243" s="352"/>
      <c r="Q243" s="332" t="s">
        <v>82</v>
      </c>
      <c r="R243" s="332" t="s">
        <v>716</v>
      </c>
      <c r="S243" s="332">
        <f t="shared" si="138"/>
        <v>31</v>
      </c>
      <c r="T243" s="332">
        <v>30</v>
      </c>
      <c r="U243" s="332">
        <v>0</v>
      </c>
      <c r="V243" s="332">
        <v>31</v>
      </c>
      <c r="W243" s="332" t="s">
        <v>717</v>
      </c>
      <c r="X243" s="332"/>
      <c r="Y243" s="332"/>
      <c r="Z243" s="332" t="s">
        <v>52</v>
      </c>
      <c r="AA243" s="332" t="s">
        <v>53</v>
      </c>
      <c r="AB243" s="332" t="s">
        <v>52</v>
      </c>
      <c r="AC243" s="332" t="s">
        <v>48</v>
      </c>
      <c r="AD243" s="332" t="s">
        <v>52</v>
      </c>
      <c r="AE243" s="332" t="s">
        <v>54</v>
      </c>
      <c r="AF243" s="332" t="s">
        <v>54</v>
      </c>
      <c r="AG243" s="332" t="s">
        <v>85</v>
      </c>
      <c r="AH243" s="332" t="s">
        <v>86</v>
      </c>
      <c r="AI243" s="332" t="s">
        <v>48</v>
      </c>
      <c r="AJ243" s="354"/>
      <c r="AK243" s="354"/>
      <c r="AL243" s="332" t="s">
        <v>718</v>
      </c>
      <c r="AM243" s="332"/>
      <c r="AN243" s="332" t="s">
        <v>719</v>
      </c>
      <c r="AO243" s="340"/>
      <c r="AP243" s="340"/>
      <c r="AQ243" s="474"/>
      <c r="AR243" s="135">
        <f>COUNTIF(B:B,B243)</f>
        <v>1</v>
      </c>
      <c r="AS243" s="135" t="str">
        <f t="shared" si="127"/>
        <v>2020_06_09_a</v>
      </c>
      <c r="AT243" s="136"/>
      <c r="AU243" s="135" t="str">
        <f t="shared" si="128"/>
        <v>2020</v>
      </c>
      <c r="AV243" s="135" t="str">
        <f t="shared" si="129"/>
        <v>06</v>
      </c>
      <c r="AW243" s="135" t="str">
        <f t="shared" si="130"/>
        <v>09</v>
      </c>
      <c r="AX243" s="135">
        <f t="shared" si="131"/>
        <v>43991</v>
      </c>
      <c r="AY243" s="137"/>
      <c r="AZ243" s="138">
        <f t="shared" si="132"/>
        <v>43991</v>
      </c>
      <c r="BA243" s="135" t="b">
        <f t="shared" si="133"/>
        <v>1</v>
      </c>
      <c r="BB243" s="135">
        <f t="shared" si="134"/>
        <v>43991</v>
      </c>
      <c r="BC243" s="135" t="str">
        <f t="shared" si="135"/>
        <v>no</v>
      </c>
      <c r="BD243" s="135" t="b">
        <f t="shared" si="136"/>
        <v>0</v>
      </c>
      <c r="BE243" s="139" t="s">
        <v>59</v>
      </c>
      <c r="BF243" s="350"/>
    </row>
    <row r="244" spans="1:58" s="331" customFormat="1" ht="154">
      <c r="A244" s="336" t="s">
        <v>737</v>
      </c>
      <c r="B244" s="336" t="s">
        <v>738</v>
      </c>
      <c r="C244" s="338" t="s">
        <v>739</v>
      </c>
      <c r="D244" s="338">
        <v>10084024</v>
      </c>
      <c r="E244" s="338"/>
      <c r="F244" s="351" t="s">
        <v>713</v>
      </c>
      <c r="G244" s="352" t="s">
        <v>740</v>
      </c>
      <c r="H244" s="353">
        <v>43992</v>
      </c>
      <c r="I244" s="352">
        <v>44012</v>
      </c>
      <c r="J244" s="353">
        <v>44013</v>
      </c>
      <c r="K244" s="352">
        <f t="shared" si="139"/>
        <v>44055</v>
      </c>
      <c r="L244" s="352" t="s">
        <v>741</v>
      </c>
      <c r="M244" s="352" t="s">
        <v>48</v>
      </c>
      <c r="N244" s="352" t="s">
        <v>48</v>
      </c>
      <c r="O244" s="352"/>
      <c r="P244" s="352"/>
      <c r="Q244" s="332" t="s">
        <v>82</v>
      </c>
      <c r="R244" s="332" t="s">
        <v>725</v>
      </c>
      <c r="S244" s="332">
        <f t="shared" si="138"/>
        <v>17</v>
      </c>
      <c r="T244" s="332">
        <v>32</v>
      </c>
      <c r="U244" s="332">
        <v>0</v>
      </c>
      <c r="V244" s="332">
        <v>17</v>
      </c>
      <c r="W244" s="332" t="s">
        <v>717</v>
      </c>
      <c r="X244" s="332"/>
      <c r="Y244" s="332"/>
      <c r="Z244" s="332" t="s">
        <v>52</v>
      </c>
      <c r="AA244" s="332" t="s">
        <v>53</v>
      </c>
      <c r="AB244" s="332" t="s">
        <v>52</v>
      </c>
      <c r="AC244" s="332" t="s">
        <v>48</v>
      </c>
      <c r="AD244" s="332" t="s">
        <v>52</v>
      </c>
      <c r="AE244" s="332" t="s">
        <v>54</v>
      </c>
      <c r="AF244" s="332" t="s">
        <v>54</v>
      </c>
      <c r="AG244" s="332" t="s">
        <v>85</v>
      </c>
      <c r="AH244" s="332" t="s">
        <v>86</v>
      </c>
      <c r="AI244" s="332" t="s">
        <v>48</v>
      </c>
      <c r="AJ244" s="354"/>
      <c r="AK244" s="354"/>
      <c r="AL244" s="332" t="s">
        <v>742</v>
      </c>
      <c r="AM244" s="332"/>
      <c r="AN244" s="332" t="s">
        <v>719</v>
      </c>
      <c r="AO244" s="340"/>
      <c r="AP244" s="340"/>
      <c r="AQ244" s="474"/>
      <c r="AR244" s="135">
        <f>COUNTIF(B:B,B244)</f>
        <v>1</v>
      </c>
      <c r="AS244" s="135" t="str">
        <f t="shared" si="127"/>
        <v>2020_06_10_a</v>
      </c>
      <c r="AT244" s="136"/>
      <c r="AU244" s="135" t="str">
        <f t="shared" si="128"/>
        <v>2020</v>
      </c>
      <c r="AV244" s="135" t="str">
        <f t="shared" si="129"/>
        <v>06</v>
      </c>
      <c r="AW244" s="135" t="str">
        <f t="shared" si="130"/>
        <v>10</v>
      </c>
      <c r="AX244" s="135">
        <f t="shared" si="131"/>
        <v>43992</v>
      </c>
      <c r="AY244" s="137"/>
      <c r="AZ244" s="138">
        <f t="shared" si="132"/>
        <v>43992</v>
      </c>
      <c r="BA244" s="135" t="b">
        <f t="shared" si="133"/>
        <v>1</v>
      </c>
      <c r="BB244" s="135">
        <f t="shared" si="134"/>
        <v>43992</v>
      </c>
      <c r="BC244" s="135" t="str">
        <f t="shared" si="135"/>
        <v>no</v>
      </c>
      <c r="BD244" s="135" t="b">
        <f t="shared" si="136"/>
        <v>0</v>
      </c>
      <c r="BE244" s="139" t="s">
        <v>59</v>
      </c>
      <c r="BF244" s="350"/>
    </row>
    <row r="245" spans="1:58" s="331" customFormat="1" ht="154">
      <c r="A245" s="336" t="s">
        <v>743</v>
      </c>
      <c r="B245" s="336" t="s">
        <v>744</v>
      </c>
      <c r="C245" s="338"/>
      <c r="D245" s="338">
        <v>10085418</v>
      </c>
      <c r="E245" s="338"/>
      <c r="F245" s="351" t="s">
        <v>713</v>
      </c>
      <c r="G245" s="352" t="s">
        <v>745</v>
      </c>
      <c r="H245" s="353">
        <v>44018</v>
      </c>
      <c r="I245" s="352">
        <v>44043</v>
      </c>
      <c r="J245" s="353">
        <v>44046</v>
      </c>
      <c r="K245" s="352">
        <f>WORKDAY(J245,30)</f>
        <v>44088</v>
      </c>
      <c r="L245" s="352" t="s">
        <v>746</v>
      </c>
      <c r="M245" s="352" t="s">
        <v>383</v>
      </c>
      <c r="N245" s="352" t="s">
        <v>383</v>
      </c>
      <c r="O245" s="352"/>
      <c r="P245" s="352"/>
      <c r="Q245" s="332" t="s">
        <v>93</v>
      </c>
      <c r="R245" s="332" t="s">
        <v>716</v>
      </c>
      <c r="S245" s="332">
        <f t="shared" si="138"/>
        <v>57</v>
      </c>
      <c r="T245" s="332">
        <v>30</v>
      </c>
      <c r="U245" s="332">
        <v>0</v>
      </c>
      <c r="V245" s="332">
        <v>57</v>
      </c>
      <c r="W245" s="332" t="s">
        <v>717</v>
      </c>
      <c r="X245" s="332"/>
      <c r="Y245" s="332"/>
      <c r="Z245" s="332" t="s">
        <v>52</v>
      </c>
      <c r="AA245" s="332" t="s">
        <v>53</v>
      </c>
      <c r="AB245" s="355" t="s">
        <v>52</v>
      </c>
      <c r="AC245" s="332" t="s">
        <v>48</v>
      </c>
      <c r="AD245" s="332" t="s">
        <v>52</v>
      </c>
      <c r="AE245" s="332" t="s">
        <v>54</v>
      </c>
      <c r="AF245" s="332" t="s">
        <v>54</v>
      </c>
      <c r="AG245" s="332" t="s">
        <v>85</v>
      </c>
      <c r="AH245" s="332" t="s">
        <v>86</v>
      </c>
      <c r="AI245" s="332" t="s">
        <v>48</v>
      </c>
      <c r="AJ245" s="354"/>
      <c r="AK245" s="354"/>
      <c r="AL245" s="332" t="s">
        <v>718</v>
      </c>
      <c r="AM245" s="332"/>
      <c r="AN245" s="332" t="s">
        <v>719</v>
      </c>
      <c r="AO245" s="340"/>
      <c r="AP245" s="340"/>
      <c r="AQ245" s="474"/>
      <c r="AR245" s="135">
        <f>COUNTIF(B:B,B245)</f>
        <v>1</v>
      </c>
      <c r="AS245" s="135" t="str">
        <f t="shared" si="127"/>
        <v>2020_07_06_a</v>
      </c>
      <c r="AT245" s="136"/>
      <c r="AU245" s="135" t="str">
        <f t="shared" si="128"/>
        <v>2020</v>
      </c>
      <c r="AV245" s="135" t="str">
        <f t="shared" si="129"/>
        <v>07</v>
      </c>
      <c r="AW245" s="135" t="str">
        <f t="shared" si="130"/>
        <v>06</v>
      </c>
      <c r="AX245" s="135">
        <f t="shared" si="131"/>
        <v>44018</v>
      </c>
      <c r="AY245" s="137"/>
      <c r="AZ245" s="138">
        <f t="shared" si="132"/>
        <v>44018</v>
      </c>
      <c r="BA245" s="135" t="b">
        <f t="shared" si="133"/>
        <v>1</v>
      </c>
      <c r="BB245" s="135">
        <f t="shared" si="134"/>
        <v>44018</v>
      </c>
      <c r="BC245" s="135" t="str">
        <f t="shared" si="135"/>
        <v>no</v>
      </c>
      <c r="BD245" s="135" t="b">
        <f t="shared" si="136"/>
        <v>0</v>
      </c>
      <c r="BE245" s="139" t="s">
        <v>59</v>
      </c>
      <c r="BF245" s="350"/>
    </row>
    <row r="246" spans="1:58" s="331" customFormat="1" ht="154">
      <c r="A246" s="336" t="s">
        <v>747</v>
      </c>
      <c r="B246" s="336" t="s">
        <v>748</v>
      </c>
      <c r="C246" s="338"/>
      <c r="D246" s="338">
        <v>10085302</v>
      </c>
      <c r="E246" s="338"/>
      <c r="F246" s="351" t="s">
        <v>713</v>
      </c>
      <c r="G246" s="352" t="s">
        <v>749</v>
      </c>
      <c r="H246" s="353">
        <v>44021</v>
      </c>
      <c r="I246" s="352">
        <v>44040</v>
      </c>
      <c r="J246" s="353">
        <v>44041</v>
      </c>
      <c r="K246" s="352">
        <f t="shared" si="139"/>
        <v>44083</v>
      </c>
      <c r="L246" s="352" t="s">
        <v>750</v>
      </c>
      <c r="M246" s="352" t="s">
        <v>383</v>
      </c>
      <c r="N246" s="352" t="s">
        <v>383</v>
      </c>
      <c r="O246" s="352"/>
      <c r="P246" s="352"/>
      <c r="Q246" s="332" t="s">
        <v>93</v>
      </c>
      <c r="R246" s="332" t="s">
        <v>725</v>
      </c>
      <c r="S246" s="332">
        <f t="shared" si="138"/>
        <v>23</v>
      </c>
      <c r="T246" s="332">
        <v>23</v>
      </c>
      <c r="U246" s="332">
        <v>0</v>
      </c>
      <c r="V246" s="332">
        <v>23</v>
      </c>
      <c r="W246" s="332" t="s">
        <v>717</v>
      </c>
      <c r="X246" s="332"/>
      <c r="Y246" s="332"/>
      <c r="Z246" s="332" t="s">
        <v>52</v>
      </c>
      <c r="AA246" s="332" t="s">
        <v>53</v>
      </c>
      <c r="AB246" s="332" t="s">
        <v>52</v>
      </c>
      <c r="AC246" s="332" t="s">
        <v>48</v>
      </c>
      <c r="AD246" s="332" t="s">
        <v>52</v>
      </c>
      <c r="AE246" s="332" t="s">
        <v>54</v>
      </c>
      <c r="AF246" s="332" t="s">
        <v>54</v>
      </c>
      <c r="AG246" s="332" t="s">
        <v>85</v>
      </c>
      <c r="AH246" s="332" t="s">
        <v>86</v>
      </c>
      <c r="AI246" s="332" t="s">
        <v>48</v>
      </c>
      <c r="AJ246" s="354"/>
      <c r="AK246" s="354"/>
      <c r="AL246" s="332" t="s">
        <v>718</v>
      </c>
      <c r="AM246" s="332"/>
      <c r="AN246" s="332" t="s">
        <v>719</v>
      </c>
      <c r="AO246" s="340"/>
      <c r="AP246" s="340"/>
      <c r="AQ246" s="474"/>
      <c r="AR246" s="135">
        <f>COUNTIF(B:B,B246)</f>
        <v>1</v>
      </c>
      <c r="AS246" s="135" t="str">
        <f t="shared" si="127"/>
        <v>2020_07_09_a</v>
      </c>
      <c r="AT246" s="136"/>
      <c r="AU246" s="135" t="str">
        <f t="shared" si="128"/>
        <v>2020</v>
      </c>
      <c r="AV246" s="135" t="str">
        <f t="shared" si="129"/>
        <v>07</v>
      </c>
      <c r="AW246" s="135" t="str">
        <f t="shared" si="130"/>
        <v>09</v>
      </c>
      <c r="AX246" s="135">
        <f t="shared" si="131"/>
        <v>44021</v>
      </c>
      <c r="AY246" s="137"/>
      <c r="AZ246" s="138">
        <f t="shared" si="132"/>
        <v>44021</v>
      </c>
      <c r="BA246" s="135" t="b">
        <f t="shared" si="133"/>
        <v>1</v>
      </c>
      <c r="BB246" s="135">
        <f t="shared" si="134"/>
        <v>44021</v>
      </c>
      <c r="BC246" s="135" t="str">
        <f t="shared" si="135"/>
        <v>no</v>
      </c>
      <c r="BD246" s="135" t="b">
        <f t="shared" si="136"/>
        <v>0</v>
      </c>
      <c r="BE246" s="139" t="s">
        <v>59</v>
      </c>
      <c r="BF246" s="350"/>
    </row>
    <row r="247" spans="1:58" s="331" customFormat="1" ht="154">
      <c r="A247" s="336" t="s">
        <v>751</v>
      </c>
      <c r="B247" s="336" t="s">
        <v>752</v>
      </c>
      <c r="C247" s="338"/>
      <c r="D247" s="338">
        <v>10084895</v>
      </c>
      <c r="E247" s="338"/>
      <c r="F247" s="351" t="s">
        <v>713</v>
      </c>
      <c r="G247" s="352" t="s">
        <v>753</v>
      </c>
      <c r="H247" s="353">
        <v>44029</v>
      </c>
      <c r="I247" s="352">
        <v>44048</v>
      </c>
      <c r="J247" s="353">
        <v>44105</v>
      </c>
      <c r="K247" s="352">
        <f>WORKDAY(J247,30)</f>
        <v>44147</v>
      </c>
      <c r="L247" s="352" t="s">
        <v>754</v>
      </c>
      <c r="M247" s="352" t="s">
        <v>48</v>
      </c>
      <c r="N247" s="352" t="s">
        <v>48</v>
      </c>
      <c r="O247" s="352"/>
      <c r="P247" s="352"/>
      <c r="Q247" s="332" t="s">
        <v>93</v>
      </c>
      <c r="R247" s="332" t="s">
        <v>731</v>
      </c>
      <c r="S247" s="332">
        <f t="shared" si="138"/>
        <v>13</v>
      </c>
      <c r="T247" s="332">
        <v>27</v>
      </c>
      <c r="U247" s="332">
        <v>0</v>
      </c>
      <c r="V247" s="332">
        <v>13</v>
      </c>
      <c r="W247" s="332" t="s">
        <v>717</v>
      </c>
      <c r="X247" s="332"/>
      <c r="Y247" s="332"/>
      <c r="Z247" s="332" t="s">
        <v>52</v>
      </c>
      <c r="AA247" s="332" t="s">
        <v>53</v>
      </c>
      <c r="AB247" s="332" t="s">
        <v>52</v>
      </c>
      <c r="AC247" s="332" t="s">
        <v>48</v>
      </c>
      <c r="AD247" s="332" t="s">
        <v>53</v>
      </c>
      <c r="AE247" s="332" t="s">
        <v>54</v>
      </c>
      <c r="AF247" s="332" t="s">
        <v>54</v>
      </c>
      <c r="AG247" s="332" t="s">
        <v>85</v>
      </c>
      <c r="AH247" s="332" t="s">
        <v>86</v>
      </c>
      <c r="AI247" s="332" t="s">
        <v>48</v>
      </c>
      <c r="AJ247" s="354"/>
      <c r="AK247" s="354"/>
      <c r="AL247" s="332" t="s">
        <v>718</v>
      </c>
      <c r="AM247" s="332"/>
      <c r="AN247" s="332" t="s">
        <v>719</v>
      </c>
      <c r="AO247" s="340"/>
      <c r="AP247" s="340"/>
      <c r="AQ247" s="474"/>
      <c r="AR247" s="135">
        <f>COUNTIF(B:B,B247)</f>
        <v>1</v>
      </c>
      <c r="AS247" s="135" t="str">
        <f t="shared" si="127"/>
        <v>2020_07_17_a</v>
      </c>
      <c r="AT247" s="136"/>
      <c r="AU247" s="135" t="str">
        <f t="shared" si="128"/>
        <v>2020</v>
      </c>
      <c r="AV247" s="135" t="str">
        <f t="shared" si="129"/>
        <v>07</v>
      </c>
      <c r="AW247" s="135" t="str">
        <f t="shared" si="130"/>
        <v>17</v>
      </c>
      <c r="AX247" s="135">
        <f t="shared" si="131"/>
        <v>44029</v>
      </c>
      <c r="AY247" s="137"/>
      <c r="AZ247" s="138">
        <f t="shared" si="132"/>
        <v>44029</v>
      </c>
      <c r="BA247" s="135" t="b">
        <f t="shared" si="133"/>
        <v>1</v>
      </c>
      <c r="BB247" s="135">
        <f t="shared" si="134"/>
        <v>44029</v>
      </c>
      <c r="BC247" s="135" t="str">
        <f t="shared" si="135"/>
        <v>no</v>
      </c>
      <c r="BD247" s="135" t="b">
        <f t="shared" si="136"/>
        <v>0</v>
      </c>
      <c r="BE247" s="139" t="s">
        <v>59</v>
      </c>
      <c r="BF247" s="350"/>
    </row>
    <row r="248" spans="1:58" s="331" customFormat="1" ht="154">
      <c r="A248" s="338" t="s">
        <v>755</v>
      </c>
      <c r="B248" s="336" t="s">
        <v>756</v>
      </c>
      <c r="C248" s="338"/>
      <c r="D248" s="338">
        <v>10087982</v>
      </c>
      <c r="E248" s="338"/>
      <c r="F248" s="351" t="s">
        <v>713</v>
      </c>
      <c r="G248" s="352" t="s">
        <v>757</v>
      </c>
      <c r="H248" s="353">
        <v>44049</v>
      </c>
      <c r="I248" s="352">
        <v>44068</v>
      </c>
      <c r="J248" s="353">
        <v>44074</v>
      </c>
      <c r="K248" s="352">
        <f t="shared" si="139"/>
        <v>44116</v>
      </c>
      <c r="L248" s="352" t="s">
        <v>757</v>
      </c>
      <c r="M248" s="352" t="s">
        <v>383</v>
      </c>
      <c r="N248" s="352" t="s">
        <v>383</v>
      </c>
      <c r="O248" s="352"/>
      <c r="P248" s="352"/>
      <c r="Q248" s="332" t="s">
        <v>93</v>
      </c>
      <c r="R248" s="332" t="s">
        <v>725</v>
      </c>
      <c r="S248" s="332">
        <f t="shared" si="138"/>
        <v>15</v>
      </c>
      <c r="T248" s="332">
        <v>20</v>
      </c>
      <c r="U248" s="332">
        <v>0</v>
      </c>
      <c r="V248" s="332">
        <v>15</v>
      </c>
      <c r="W248" s="332" t="s">
        <v>717</v>
      </c>
      <c r="X248" s="332"/>
      <c r="Y248" s="332"/>
      <c r="Z248" s="332" t="s">
        <v>52</v>
      </c>
      <c r="AA248" s="332" t="s">
        <v>53</v>
      </c>
      <c r="AB248" s="332" t="s">
        <v>52</v>
      </c>
      <c r="AC248" s="332" t="s">
        <v>48</v>
      </c>
      <c r="AD248" s="332" t="s">
        <v>53</v>
      </c>
      <c r="AE248" s="332" t="s">
        <v>54</v>
      </c>
      <c r="AF248" s="332" t="s">
        <v>54</v>
      </c>
      <c r="AG248" s="332" t="s">
        <v>85</v>
      </c>
      <c r="AH248" s="332" t="s">
        <v>86</v>
      </c>
      <c r="AI248" s="332" t="s">
        <v>48</v>
      </c>
      <c r="AJ248" s="354"/>
      <c r="AK248" s="354"/>
      <c r="AL248" s="332" t="s">
        <v>718</v>
      </c>
      <c r="AM248" s="332"/>
      <c r="AN248" s="332" t="s">
        <v>719</v>
      </c>
      <c r="AO248" s="340"/>
      <c r="AP248" s="340"/>
      <c r="AQ248" s="474"/>
      <c r="AR248" s="135">
        <f>COUNTIF(B:B,B248)</f>
        <v>1</v>
      </c>
      <c r="AS248" s="135" t="str">
        <f t="shared" si="127"/>
        <v>2020_08_06_a</v>
      </c>
      <c r="AT248" s="136"/>
      <c r="AU248" s="135" t="str">
        <f t="shared" si="128"/>
        <v>2020</v>
      </c>
      <c r="AV248" s="135" t="str">
        <f t="shared" si="129"/>
        <v>08</v>
      </c>
      <c r="AW248" s="135" t="str">
        <f t="shared" si="130"/>
        <v>06</v>
      </c>
      <c r="AX248" s="135">
        <f t="shared" si="131"/>
        <v>44049</v>
      </c>
      <c r="AY248" s="137"/>
      <c r="AZ248" s="138">
        <f t="shared" si="132"/>
        <v>44049</v>
      </c>
      <c r="BA248" s="135" t="b">
        <f t="shared" si="133"/>
        <v>1</v>
      </c>
      <c r="BB248" s="135">
        <f t="shared" si="134"/>
        <v>44049</v>
      </c>
      <c r="BC248" s="135" t="str">
        <f t="shared" si="135"/>
        <v>no</v>
      </c>
      <c r="BD248" s="135" t="b">
        <f t="shared" si="136"/>
        <v>0</v>
      </c>
      <c r="BE248" s="139" t="s">
        <v>59</v>
      </c>
      <c r="BF248" s="350"/>
    </row>
    <row r="249" spans="1:58" s="331" customFormat="1" ht="154">
      <c r="A249" s="338" t="s">
        <v>758</v>
      </c>
      <c r="B249" s="336" t="s">
        <v>759</v>
      </c>
      <c r="C249" s="338"/>
      <c r="D249" s="338">
        <v>10087976</v>
      </c>
      <c r="E249" s="338"/>
      <c r="F249" s="351" t="s">
        <v>713</v>
      </c>
      <c r="G249" s="352" t="s">
        <v>760</v>
      </c>
      <c r="H249" s="353">
        <v>44060</v>
      </c>
      <c r="I249" s="352">
        <v>44071</v>
      </c>
      <c r="J249" s="353">
        <v>44074</v>
      </c>
      <c r="K249" s="352">
        <f t="shared" si="139"/>
        <v>44116</v>
      </c>
      <c r="L249" s="352" t="s">
        <v>760</v>
      </c>
      <c r="M249" s="352" t="s">
        <v>383</v>
      </c>
      <c r="N249" s="352" t="s">
        <v>383</v>
      </c>
      <c r="O249" s="352"/>
      <c r="P249" s="352"/>
      <c r="Q249" s="332" t="s">
        <v>93</v>
      </c>
      <c r="R249" s="332" t="s">
        <v>716</v>
      </c>
      <c r="S249" s="332">
        <f t="shared" si="138"/>
        <v>28</v>
      </c>
      <c r="T249" s="332">
        <v>30</v>
      </c>
      <c r="U249" s="332">
        <v>0</v>
      </c>
      <c r="V249" s="332">
        <v>28</v>
      </c>
      <c r="W249" s="332" t="s">
        <v>717</v>
      </c>
      <c r="X249" s="332"/>
      <c r="Y249" s="332"/>
      <c r="Z249" s="332" t="s">
        <v>52</v>
      </c>
      <c r="AA249" s="332" t="s">
        <v>53</v>
      </c>
      <c r="AB249" s="332" t="s">
        <v>52</v>
      </c>
      <c r="AC249" s="332" t="s">
        <v>48</v>
      </c>
      <c r="AD249" s="332" t="s">
        <v>53</v>
      </c>
      <c r="AE249" s="332" t="s">
        <v>54</v>
      </c>
      <c r="AF249" s="332" t="s">
        <v>54</v>
      </c>
      <c r="AG249" s="332" t="s">
        <v>85</v>
      </c>
      <c r="AH249" s="332" t="s">
        <v>86</v>
      </c>
      <c r="AI249" s="332" t="s">
        <v>48</v>
      </c>
      <c r="AJ249" s="354"/>
      <c r="AK249" s="354"/>
      <c r="AL249" s="332" t="s">
        <v>761</v>
      </c>
      <c r="AM249" s="332"/>
      <c r="AN249" s="332" t="s">
        <v>719</v>
      </c>
      <c r="AO249" s="340"/>
      <c r="AP249" s="340"/>
      <c r="AQ249" s="474"/>
      <c r="AR249" s="135">
        <f>COUNTIF(B:B,B249)</f>
        <v>1</v>
      </c>
      <c r="AS249" s="135" t="str">
        <f t="shared" si="127"/>
        <v>2020_08_17_a</v>
      </c>
      <c r="AT249" s="136"/>
      <c r="AU249" s="135" t="str">
        <f t="shared" si="128"/>
        <v>2020</v>
      </c>
      <c r="AV249" s="135" t="str">
        <f t="shared" si="129"/>
        <v>08</v>
      </c>
      <c r="AW249" s="135" t="str">
        <f t="shared" si="130"/>
        <v>17</v>
      </c>
      <c r="AX249" s="135">
        <f t="shared" si="131"/>
        <v>44060</v>
      </c>
      <c r="AY249" s="137"/>
      <c r="AZ249" s="138">
        <f t="shared" si="132"/>
        <v>44060</v>
      </c>
      <c r="BA249" s="135" t="b">
        <f t="shared" si="133"/>
        <v>1</v>
      </c>
      <c r="BB249" s="135">
        <f t="shared" si="134"/>
        <v>44060</v>
      </c>
      <c r="BC249" s="135" t="str">
        <f t="shared" si="135"/>
        <v>no</v>
      </c>
      <c r="BD249" s="135" t="b">
        <f t="shared" si="136"/>
        <v>0</v>
      </c>
      <c r="BE249" s="139" t="s">
        <v>59</v>
      </c>
      <c r="BF249" s="350"/>
    </row>
    <row r="250" spans="1:58" s="331" customFormat="1" ht="154">
      <c r="A250" s="338" t="s">
        <v>762</v>
      </c>
      <c r="B250" s="336" t="s">
        <v>763</v>
      </c>
      <c r="C250" s="338"/>
      <c r="D250" s="338">
        <v>10089473</v>
      </c>
      <c r="E250" s="338"/>
      <c r="F250" s="351" t="s">
        <v>713</v>
      </c>
      <c r="G250" s="352" t="s">
        <v>764</v>
      </c>
      <c r="H250" s="353">
        <v>44077</v>
      </c>
      <c r="I250" s="352">
        <v>44113</v>
      </c>
      <c r="J250" s="353">
        <v>44116</v>
      </c>
      <c r="K250" s="352">
        <f t="shared" si="139"/>
        <v>44158</v>
      </c>
      <c r="L250" s="352" t="s">
        <v>765</v>
      </c>
      <c r="M250" s="352" t="s">
        <v>383</v>
      </c>
      <c r="N250" s="352" t="s">
        <v>383</v>
      </c>
      <c r="O250" s="352"/>
      <c r="P250" s="352"/>
      <c r="Q250" s="332" t="s">
        <v>93</v>
      </c>
      <c r="R250" s="332" t="s">
        <v>725</v>
      </c>
      <c r="S250" s="332">
        <f t="shared" si="138"/>
        <v>6</v>
      </c>
      <c r="T250" s="332">
        <v>6</v>
      </c>
      <c r="U250" s="332">
        <v>0</v>
      </c>
      <c r="V250" s="332">
        <v>6</v>
      </c>
      <c r="W250" s="332" t="s">
        <v>717</v>
      </c>
      <c r="X250" s="332"/>
      <c r="Y250" s="332"/>
      <c r="Z250" s="332" t="s">
        <v>52</v>
      </c>
      <c r="AA250" s="332" t="s">
        <v>53</v>
      </c>
      <c r="AB250" s="332" t="s">
        <v>52</v>
      </c>
      <c r="AC250" s="332" t="s">
        <v>48</v>
      </c>
      <c r="AD250" s="332" t="s">
        <v>766</v>
      </c>
      <c r="AE250" s="332" t="s">
        <v>766</v>
      </c>
      <c r="AF250" s="332" t="s">
        <v>766</v>
      </c>
      <c r="AG250" s="332" t="s">
        <v>85</v>
      </c>
      <c r="AH250" s="332" t="s">
        <v>86</v>
      </c>
      <c r="AI250" s="332" t="s">
        <v>48</v>
      </c>
      <c r="AJ250" s="354"/>
      <c r="AK250" s="354"/>
      <c r="AL250" s="332" t="s">
        <v>761</v>
      </c>
      <c r="AM250" s="332"/>
      <c r="AN250" s="332" t="s">
        <v>719</v>
      </c>
      <c r="AO250" s="340"/>
      <c r="AP250" s="340"/>
      <c r="AQ250" s="474"/>
      <c r="AR250" s="135">
        <f>COUNTIF(B:B,B250)</f>
        <v>1</v>
      </c>
      <c r="AS250" s="135" t="str">
        <f t="shared" si="127"/>
        <v>2020_09_03_a</v>
      </c>
      <c r="AT250" s="136"/>
      <c r="AU250" s="135" t="str">
        <f t="shared" si="128"/>
        <v>2020</v>
      </c>
      <c r="AV250" s="135" t="str">
        <f t="shared" si="129"/>
        <v>09</v>
      </c>
      <c r="AW250" s="135" t="str">
        <f t="shared" si="130"/>
        <v>03</v>
      </c>
      <c r="AX250" s="135">
        <f t="shared" si="131"/>
        <v>44077</v>
      </c>
      <c r="AY250" s="137"/>
      <c r="AZ250" s="138">
        <f t="shared" si="132"/>
        <v>44077</v>
      </c>
      <c r="BA250" s="135" t="b">
        <f t="shared" si="133"/>
        <v>1</v>
      </c>
      <c r="BB250" s="135">
        <f t="shared" si="134"/>
        <v>44077</v>
      </c>
      <c r="BC250" s="135" t="str">
        <f t="shared" si="135"/>
        <v>no</v>
      </c>
      <c r="BD250" s="135" t="b">
        <f t="shared" si="136"/>
        <v>0</v>
      </c>
      <c r="BE250" s="139" t="s">
        <v>59</v>
      </c>
      <c r="BF250" s="350"/>
    </row>
    <row r="251" spans="1:58" s="331" customFormat="1" ht="154">
      <c r="A251" s="338" t="s">
        <v>767</v>
      </c>
      <c r="B251" s="336" t="s">
        <v>768</v>
      </c>
      <c r="C251" s="338"/>
      <c r="D251" s="338">
        <v>10088696</v>
      </c>
      <c r="E251" s="338"/>
      <c r="F251" s="351" t="s">
        <v>713</v>
      </c>
      <c r="G251" s="352" t="s">
        <v>769</v>
      </c>
      <c r="H251" s="353">
        <v>44089</v>
      </c>
      <c r="I251" s="352">
        <v>44102</v>
      </c>
      <c r="J251" s="353">
        <v>44109</v>
      </c>
      <c r="K251" s="352">
        <f t="shared" si="139"/>
        <v>44151</v>
      </c>
      <c r="L251" s="352" t="s">
        <v>765</v>
      </c>
      <c r="M251" s="352" t="s">
        <v>383</v>
      </c>
      <c r="N251" s="352" t="s">
        <v>383</v>
      </c>
      <c r="O251" s="352"/>
      <c r="P251" s="352"/>
      <c r="Q251" s="332" t="s">
        <v>93</v>
      </c>
      <c r="R251" s="332" t="s">
        <v>716</v>
      </c>
      <c r="S251" s="332">
        <f t="shared" si="138"/>
        <v>3</v>
      </c>
      <c r="T251" s="332">
        <f>SUM(V251)</f>
        <v>3</v>
      </c>
      <c r="U251" s="332">
        <v>0</v>
      </c>
      <c r="V251" s="332">
        <v>3</v>
      </c>
      <c r="W251" s="332" t="s">
        <v>717</v>
      </c>
      <c r="X251" s="332"/>
      <c r="Y251" s="332"/>
      <c r="Z251" s="332" t="s">
        <v>52</v>
      </c>
      <c r="AA251" s="332" t="s">
        <v>53</v>
      </c>
      <c r="AB251" s="332" t="s">
        <v>52</v>
      </c>
      <c r="AC251" s="332" t="s">
        <v>48</v>
      </c>
      <c r="AD251" s="332" t="s">
        <v>53</v>
      </c>
      <c r="AE251" s="332" t="s">
        <v>766</v>
      </c>
      <c r="AF251" s="332" t="s">
        <v>766</v>
      </c>
      <c r="AG251" s="332" t="s">
        <v>85</v>
      </c>
      <c r="AH251" s="332" t="s">
        <v>86</v>
      </c>
      <c r="AI251" s="332" t="s">
        <v>48</v>
      </c>
      <c r="AJ251" s="354"/>
      <c r="AK251" s="354"/>
      <c r="AL251" s="332" t="s">
        <v>761</v>
      </c>
      <c r="AM251" s="332"/>
      <c r="AN251" s="332" t="s">
        <v>719</v>
      </c>
      <c r="AO251" s="340"/>
      <c r="AP251" s="340"/>
      <c r="AQ251" s="474"/>
      <c r="AR251" s="135">
        <f>COUNTIF(B:B,B251)</f>
        <v>1</v>
      </c>
      <c r="AS251" s="135" t="str">
        <f t="shared" si="127"/>
        <v>2020_09_15_a</v>
      </c>
      <c r="AT251" s="136"/>
      <c r="AU251" s="135" t="str">
        <f t="shared" si="128"/>
        <v>2020</v>
      </c>
      <c r="AV251" s="135" t="str">
        <f t="shared" si="129"/>
        <v>09</v>
      </c>
      <c r="AW251" s="135" t="str">
        <f t="shared" si="130"/>
        <v>15</v>
      </c>
      <c r="AX251" s="135">
        <f t="shared" si="131"/>
        <v>44089</v>
      </c>
      <c r="AY251" s="137"/>
      <c r="AZ251" s="138">
        <f t="shared" si="132"/>
        <v>44089</v>
      </c>
      <c r="BA251" s="135" t="b">
        <f t="shared" si="133"/>
        <v>1</v>
      </c>
      <c r="BB251" s="135">
        <f t="shared" si="134"/>
        <v>44089</v>
      </c>
      <c r="BC251" s="135" t="str">
        <f t="shared" si="135"/>
        <v>no</v>
      </c>
      <c r="BD251" s="135" t="b">
        <f t="shared" si="136"/>
        <v>0</v>
      </c>
      <c r="BE251" s="139" t="s">
        <v>59</v>
      </c>
      <c r="BF251" s="350"/>
    </row>
    <row r="252" spans="1:58" s="331" customFormat="1" ht="154">
      <c r="A252" s="338" t="s">
        <v>770</v>
      </c>
      <c r="B252" s="336" t="s">
        <v>771</v>
      </c>
      <c r="C252" s="338"/>
      <c r="D252" s="338">
        <v>10087877</v>
      </c>
      <c r="E252" s="338"/>
      <c r="F252" s="351" t="s">
        <v>713</v>
      </c>
      <c r="G252" s="352" t="s">
        <v>753</v>
      </c>
      <c r="H252" s="353">
        <v>44084</v>
      </c>
      <c r="I252" s="352">
        <v>44109</v>
      </c>
      <c r="J252" s="353">
        <v>44116</v>
      </c>
      <c r="K252" s="352">
        <f t="shared" si="139"/>
        <v>44158</v>
      </c>
      <c r="L252" s="352" t="s">
        <v>772</v>
      </c>
      <c r="M252" s="352" t="s">
        <v>383</v>
      </c>
      <c r="N252" s="352" t="s">
        <v>383</v>
      </c>
      <c r="O252" s="352"/>
      <c r="P252" s="352"/>
      <c r="Q252" s="332" t="s">
        <v>93</v>
      </c>
      <c r="R252" s="332" t="s">
        <v>731</v>
      </c>
      <c r="S252" s="332">
        <f t="shared" si="138"/>
        <v>2</v>
      </c>
      <c r="T252" s="332">
        <v>49</v>
      </c>
      <c r="U252" s="332">
        <v>0</v>
      </c>
      <c r="V252" s="332">
        <v>2</v>
      </c>
      <c r="W252" s="332" t="s">
        <v>717</v>
      </c>
      <c r="X252" s="332"/>
      <c r="Y252" s="332"/>
      <c r="Z252" s="332" t="s">
        <v>52</v>
      </c>
      <c r="AA252" s="332" t="s">
        <v>53</v>
      </c>
      <c r="AB252" s="332" t="s">
        <v>52</v>
      </c>
      <c r="AC252" s="332" t="s">
        <v>48</v>
      </c>
      <c r="AD252" s="332" t="s">
        <v>766</v>
      </c>
      <c r="AE252" s="332" t="s">
        <v>766</v>
      </c>
      <c r="AF252" s="332" t="s">
        <v>766</v>
      </c>
      <c r="AG252" s="332" t="s">
        <v>85</v>
      </c>
      <c r="AH252" s="332" t="s">
        <v>86</v>
      </c>
      <c r="AI252" s="332" t="s">
        <v>48</v>
      </c>
      <c r="AJ252" s="354"/>
      <c r="AK252" s="354"/>
      <c r="AL252" s="332" t="s">
        <v>761</v>
      </c>
      <c r="AM252" s="332"/>
      <c r="AN252" s="332" t="s">
        <v>719</v>
      </c>
      <c r="AO252" s="340"/>
      <c r="AP252" s="340"/>
      <c r="AQ252" s="474"/>
      <c r="AR252" s="135">
        <f>COUNTIF(B:B,B252)</f>
        <v>1</v>
      </c>
      <c r="AS252" s="135" t="str">
        <f t="shared" si="127"/>
        <v>2020_09_10_a</v>
      </c>
      <c r="AT252" s="136"/>
      <c r="AU252" s="135" t="str">
        <f t="shared" si="128"/>
        <v>2020</v>
      </c>
      <c r="AV252" s="135" t="str">
        <f t="shared" si="129"/>
        <v>09</v>
      </c>
      <c r="AW252" s="135" t="str">
        <f t="shared" si="130"/>
        <v>10</v>
      </c>
      <c r="AX252" s="135">
        <f t="shared" si="131"/>
        <v>44084</v>
      </c>
      <c r="AY252" s="137"/>
      <c r="AZ252" s="138">
        <f t="shared" si="132"/>
        <v>44084</v>
      </c>
      <c r="BA252" s="135" t="b">
        <f t="shared" si="133"/>
        <v>1</v>
      </c>
      <c r="BB252" s="135">
        <f t="shared" si="134"/>
        <v>44084</v>
      </c>
      <c r="BC252" s="135" t="str">
        <f t="shared" si="135"/>
        <v>no</v>
      </c>
      <c r="BD252" s="135" t="b">
        <f t="shared" si="136"/>
        <v>0</v>
      </c>
      <c r="BE252" s="139" t="s">
        <v>59</v>
      </c>
      <c r="BF252" s="350"/>
    </row>
    <row r="253" spans="1:58" s="331" customFormat="1" ht="154">
      <c r="A253" s="338" t="s">
        <v>773</v>
      </c>
      <c r="B253" s="336" t="s">
        <v>774</v>
      </c>
      <c r="C253" s="338"/>
      <c r="D253" s="338">
        <v>10091425</v>
      </c>
      <c r="E253" s="338"/>
      <c r="F253" s="351" t="s">
        <v>713</v>
      </c>
      <c r="G253" s="352" t="s">
        <v>775</v>
      </c>
      <c r="H253" s="353">
        <v>44105</v>
      </c>
      <c r="I253" s="352">
        <v>44124</v>
      </c>
      <c r="J253" s="353">
        <v>44125</v>
      </c>
      <c r="K253" s="352">
        <f t="shared" si="139"/>
        <v>44167</v>
      </c>
      <c r="L253" s="352" t="s">
        <v>776</v>
      </c>
      <c r="M253" s="352" t="s">
        <v>383</v>
      </c>
      <c r="N253" s="352" t="s">
        <v>383</v>
      </c>
      <c r="O253" s="352"/>
      <c r="P253" s="352"/>
      <c r="Q253" s="332" t="s">
        <v>106</v>
      </c>
      <c r="R253" s="332" t="s">
        <v>725</v>
      </c>
      <c r="S253" s="332">
        <f t="shared" si="138"/>
        <v>12</v>
      </c>
      <c r="T253" s="332">
        <v>15</v>
      </c>
      <c r="U253" s="332">
        <v>0</v>
      </c>
      <c r="V253" s="332">
        <v>12</v>
      </c>
      <c r="W253" s="332" t="s">
        <v>717</v>
      </c>
      <c r="X253" s="332"/>
      <c r="Y253" s="332"/>
      <c r="Z253" s="332" t="s">
        <v>52</v>
      </c>
      <c r="AA253" s="332" t="s">
        <v>53</v>
      </c>
      <c r="AB253" s="332" t="s">
        <v>52</v>
      </c>
      <c r="AC253" s="332" t="s">
        <v>48</v>
      </c>
      <c r="AD253" s="332" t="s">
        <v>766</v>
      </c>
      <c r="AE253" s="332" t="s">
        <v>766</v>
      </c>
      <c r="AF253" s="332" t="s">
        <v>766</v>
      </c>
      <c r="AG253" s="332" t="s">
        <v>85</v>
      </c>
      <c r="AH253" s="332" t="s">
        <v>86</v>
      </c>
      <c r="AI253" s="332" t="s">
        <v>48</v>
      </c>
      <c r="AJ253" s="354"/>
      <c r="AK253" s="354"/>
      <c r="AL253" s="332" t="s">
        <v>718</v>
      </c>
      <c r="AM253" s="332"/>
      <c r="AN253" s="332" t="s">
        <v>719</v>
      </c>
      <c r="AO253" s="340"/>
      <c r="AP253" s="340"/>
      <c r="AQ253" s="474"/>
      <c r="AR253" s="135">
        <f>COUNTIF(B:B,B253)</f>
        <v>1</v>
      </c>
      <c r="AS253" s="135" t="str">
        <f t="shared" si="127"/>
        <v>2020_10_01_a</v>
      </c>
      <c r="AT253" s="136"/>
      <c r="AU253" s="135" t="str">
        <f t="shared" si="128"/>
        <v>2020</v>
      </c>
      <c r="AV253" s="135" t="str">
        <f t="shared" si="129"/>
        <v>10</v>
      </c>
      <c r="AW253" s="135" t="str">
        <f t="shared" si="130"/>
        <v>01</v>
      </c>
      <c r="AX253" s="135">
        <f t="shared" si="131"/>
        <v>44105</v>
      </c>
      <c r="AY253" s="137"/>
      <c r="AZ253" s="138">
        <f t="shared" si="132"/>
        <v>44105</v>
      </c>
      <c r="BA253" s="135" t="b">
        <f t="shared" si="133"/>
        <v>1</v>
      </c>
      <c r="BB253" s="135">
        <f t="shared" si="134"/>
        <v>44105</v>
      </c>
      <c r="BC253" s="135" t="str">
        <f t="shared" si="135"/>
        <v>no</v>
      </c>
      <c r="BD253" s="135" t="b">
        <f t="shared" si="136"/>
        <v>0</v>
      </c>
      <c r="BE253" s="139" t="s">
        <v>59</v>
      </c>
      <c r="BF253" s="350"/>
    </row>
    <row r="254" spans="1:58" s="331" customFormat="1" ht="154">
      <c r="A254" s="338" t="s">
        <v>777</v>
      </c>
      <c r="B254" s="336" t="s">
        <v>778</v>
      </c>
      <c r="C254" s="338"/>
      <c r="D254" s="338">
        <v>10091489</v>
      </c>
      <c r="E254" s="338"/>
      <c r="F254" s="351" t="s">
        <v>713</v>
      </c>
      <c r="G254" s="352">
        <v>44124</v>
      </c>
      <c r="H254" s="353">
        <v>44124</v>
      </c>
      <c r="I254" s="352">
        <v>44134</v>
      </c>
      <c r="J254" s="353">
        <v>44138</v>
      </c>
      <c r="K254" s="352">
        <f t="shared" si="139"/>
        <v>44180</v>
      </c>
      <c r="L254" s="352" t="s">
        <v>776</v>
      </c>
      <c r="M254" s="352" t="s">
        <v>383</v>
      </c>
      <c r="N254" s="352" t="s">
        <v>383</v>
      </c>
      <c r="O254" s="352"/>
      <c r="P254" s="352"/>
      <c r="Q254" s="332" t="s">
        <v>106</v>
      </c>
      <c r="R254" s="332" t="s">
        <v>716</v>
      </c>
      <c r="S254" s="332">
        <f t="shared" si="138"/>
        <v>36</v>
      </c>
      <c r="T254" s="332">
        <v>30</v>
      </c>
      <c r="U254" s="332">
        <v>0</v>
      </c>
      <c r="V254" s="332">
        <v>36</v>
      </c>
      <c r="W254" s="332" t="s">
        <v>717</v>
      </c>
      <c r="X254" s="332"/>
      <c r="Y254" s="332"/>
      <c r="Z254" s="332" t="s">
        <v>52</v>
      </c>
      <c r="AA254" s="332" t="s">
        <v>53</v>
      </c>
      <c r="AB254" s="332" t="s">
        <v>52</v>
      </c>
      <c r="AC254" s="332" t="s">
        <v>48</v>
      </c>
      <c r="AD254" s="332" t="s">
        <v>766</v>
      </c>
      <c r="AE254" s="332" t="s">
        <v>766</v>
      </c>
      <c r="AF254" s="332" t="s">
        <v>766</v>
      </c>
      <c r="AG254" s="332" t="s">
        <v>85</v>
      </c>
      <c r="AH254" s="332" t="s">
        <v>86</v>
      </c>
      <c r="AI254" s="332" t="s">
        <v>48</v>
      </c>
      <c r="AJ254" s="354"/>
      <c r="AK254" s="354"/>
      <c r="AL254" s="332" t="s">
        <v>718</v>
      </c>
      <c r="AM254" s="332"/>
      <c r="AN254" s="332" t="s">
        <v>719</v>
      </c>
      <c r="AO254" s="340"/>
      <c r="AP254" s="340"/>
      <c r="AQ254" s="474"/>
      <c r="AR254" s="135">
        <f>COUNTIF(B:B,B254)</f>
        <v>1</v>
      </c>
      <c r="AS254" s="135" t="str">
        <f t="shared" si="127"/>
        <v>2020_10_20_a</v>
      </c>
      <c r="AT254" s="136"/>
      <c r="AU254" s="135" t="str">
        <f t="shared" si="128"/>
        <v>2020</v>
      </c>
      <c r="AV254" s="135" t="str">
        <f t="shared" si="129"/>
        <v>10</v>
      </c>
      <c r="AW254" s="135" t="str">
        <f t="shared" si="130"/>
        <v>20</v>
      </c>
      <c r="AX254" s="135">
        <f t="shared" si="131"/>
        <v>44124</v>
      </c>
      <c r="AY254" s="137"/>
      <c r="AZ254" s="138">
        <f t="shared" si="132"/>
        <v>44124</v>
      </c>
      <c r="BA254" s="135" t="b">
        <f t="shared" si="133"/>
        <v>1</v>
      </c>
      <c r="BB254" s="135">
        <f t="shared" si="134"/>
        <v>44124</v>
      </c>
      <c r="BC254" s="135" t="str">
        <f t="shared" si="135"/>
        <v>no</v>
      </c>
      <c r="BD254" s="135" t="b">
        <f t="shared" si="136"/>
        <v>0</v>
      </c>
      <c r="BE254" s="139" t="s">
        <v>59</v>
      </c>
      <c r="BF254" s="350"/>
    </row>
    <row r="255" spans="1:58" s="331" customFormat="1" ht="154">
      <c r="A255" s="338" t="s">
        <v>779</v>
      </c>
      <c r="B255" s="336" t="s">
        <v>780</v>
      </c>
      <c r="C255" s="338"/>
      <c r="D255" s="338">
        <v>10091080</v>
      </c>
      <c r="E255" s="338"/>
      <c r="F255" s="351" t="s">
        <v>713</v>
      </c>
      <c r="G255" s="352">
        <v>44123</v>
      </c>
      <c r="H255" s="353">
        <v>44123</v>
      </c>
      <c r="I255" s="352">
        <v>44138</v>
      </c>
      <c r="J255" s="353">
        <v>44139</v>
      </c>
      <c r="K255" s="352">
        <f t="shared" si="139"/>
        <v>44181</v>
      </c>
      <c r="L255" s="352" t="s">
        <v>776</v>
      </c>
      <c r="M255" s="352" t="s">
        <v>383</v>
      </c>
      <c r="N255" s="352" t="s">
        <v>383</v>
      </c>
      <c r="O255" s="352"/>
      <c r="P255" s="352"/>
      <c r="Q255" s="332" t="s">
        <v>106</v>
      </c>
      <c r="R255" s="332" t="s">
        <v>731</v>
      </c>
      <c r="S255" s="332">
        <f t="shared" si="138"/>
        <v>12</v>
      </c>
      <c r="T255" s="332">
        <v>39</v>
      </c>
      <c r="U255" s="332">
        <v>0</v>
      </c>
      <c r="V255" s="332">
        <v>12</v>
      </c>
      <c r="W255" s="332" t="s">
        <v>717</v>
      </c>
      <c r="X255" s="332"/>
      <c r="Y255" s="332"/>
      <c r="Z255" s="332" t="s">
        <v>52</v>
      </c>
      <c r="AA255" s="332" t="s">
        <v>53</v>
      </c>
      <c r="AB255" s="332" t="s">
        <v>52</v>
      </c>
      <c r="AC255" s="332" t="s">
        <v>48</v>
      </c>
      <c r="AD255" s="332" t="s">
        <v>766</v>
      </c>
      <c r="AE255" s="332" t="s">
        <v>766</v>
      </c>
      <c r="AF255" s="332" t="s">
        <v>766</v>
      </c>
      <c r="AG255" s="332" t="s">
        <v>85</v>
      </c>
      <c r="AH255" s="332" t="s">
        <v>86</v>
      </c>
      <c r="AI255" s="332" t="s">
        <v>48</v>
      </c>
      <c r="AJ255" s="354"/>
      <c r="AK255" s="354"/>
      <c r="AL255" s="332" t="s">
        <v>761</v>
      </c>
      <c r="AM255" s="332"/>
      <c r="AN255" s="332" t="s">
        <v>719</v>
      </c>
      <c r="AO255" s="340"/>
      <c r="AP255" s="340"/>
      <c r="AQ255" s="474"/>
      <c r="AR255" s="135">
        <f>COUNTIF(B:B,B255)</f>
        <v>1</v>
      </c>
      <c r="AS255" s="135" t="str">
        <f t="shared" si="127"/>
        <v>2020_10_19_a</v>
      </c>
      <c r="AT255" s="136"/>
      <c r="AU255" s="135" t="str">
        <f t="shared" si="128"/>
        <v>2020</v>
      </c>
      <c r="AV255" s="135" t="str">
        <f t="shared" si="129"/>
        <v>10</v>
      </c>
      <c r="AW255" s="135" t="str">
        <f t="shared" si="130"/>
        <v>19</v>
      </c>
      <c r="AX255" s="135">
        <f t="shared" si="131"/>
        <v>44123</v>
      </c>
      <c r="AY255" s="137"/>
      <c r="AZ255" s="138">
        <f t="shared" si="132"/>
        <v>44123</v>
      </c>
      <c r="BA255" s="135" t="b">
        <f t="shared" si="133"/>
        <v>1</v>
      </c>
      <c r="BB255" s="135">
        <f t="shared" si="134"/>
        <v>44123</v>
      </c>
      <c r="BC255" s="135" t="str">
        <f t="shared" si="135"/>
        <v>no</v>
      </c>
      <c r="BD255" s="135" t="b">
        <f t="shared" si="136"/>
        <v>0</v>
      </c>
      <c r="BE255" s="139" t="s">
        <v>59</v>
      </c>
      <c r="BF255" s="350"/>
    </row>
    <row r="256" spans="1:58" s="331" customFormat="1" ht="154">
      <c r="A256" s="338" t="s">
        <v>781</v>
      </c>
      <c r="B256" s="336" t="s">
        <v>782</v>
      </c>
      <c r="C256" s="338"/>
      <c r="D256" s="338">
        <v>10092294</v>
      </c>
      <c r="E256" s="338"/>
      <c r="F256" s="351" t="s">
        <v>713</v>
      </c>
      <c r="G256" s="352">
        <v>44134</v>
      </c>
      <c r="H256" s="353">
        <v>44134</v>
      </c>
      <c r="I256" s="352">
        <v>44152</v>
      </c>
      <c r="J256" s="353">
        <v>44153</v>
      </c>
      <c r="K256" s="352">
        <f t="shared" si="139"/>
        <v>44195</v>
      </c>
      <c r="L256" s="352" t="s">
        <v>783</v>
      </c>
      <c r="M256" s="352" t="s">
        <v>383</v>
      </c>
      <c r="N256" s="352" t="s">
        <v>383</v>
      </c>
      <c r="O256" s="352"/>
      <c r="P256" s="352"/>
      <c r="Q256" s="332" t="s">
        <v>106</v>
      </c>
      <c r="R256" s="332" t="s">
        <v>725</v>
      </c>
      <c r="S256" s="332">
        <f t="shared" si="138"/>
        <v>20</v>
      </c>
      <c r="T256" s="332">
        <v>17</v>
      </c>
      <c r="U256" s="332">
        <v>0</v>
      </c>
      <c r="V256" s="332">
        <v>20</v>
      </c>
      <c r="W256" s="332" t="s">
        <v>717</v>
      </c>
      <c r="X256" s="332"/>
      <c r="Y256" s="332"/>
      <c r="Z256" s="332" t="s">
        <v>52</v>
      </c>
      <c r="AA256" s="332" t="s">
        <v>53</v>
      </c>
      <c r="AB256" s="332" t="s">
        <v>52</v>
      </c>
      <c r="AC256" s="332" t="s">
        <v>48</v>
      </c>
      <c r="AD256" s="332" t="s">
        <v>766</v>
      </c>
      <c r="AE256" s="332" t="s">
        <v>766</v>
      </c>
      <c r="AF256" s="332" t="s">
        <v>766</v>
      </c>
      <c r="AG256" s="332" t="s">
        <v>85</v>
      </c>
      <c r="AH256" s="332" t="s">
        <v>86</v>
      </c>
      <c r="AI256" s="332" t="s">
        <v>48</v>
      </c>
      <c r="AJ256" s="354"/>
      <c r="AK256" s="354"/>
      <c r="AL256" s="332" t="s">
        <v>718</v>
      </c>
      <c r="AM256" s="332"/>
      <c r="AN256" s="332" t="s">
        <v>719</v>
      </c>
      <c r="AO256" s="340"/>
      <c r="AP256" s="340"/>
      <c r="AQ256" s="474"/>
      <c r="AR256" s="135">
        <f>COUNTIF(B:B,B256)</f>
        <v>1</v>
      </c>
      <c r="AS256" s="135" t="str">
        <f t="shared" si="127"/>
        <v>2020_10_30_a</v>
      </c>
      <c r="AT256" s="136"/>
      <c r="AU256" s="135" t="str">
        <f t="shared" si="128"/>
        <v>2020</v>
      </c>
      <c r="AV256" s="135" t="str">
        <f t="shared" si="129"/>
        <v>10</v>
      </c>
      <c r="AW256" s="135" t="str">
        <f t="shared" si="130"/>
        <v>30</v>
      </c>
      <c r="AX256" s="135">
        <f t="shared" si="131"/>
        <v>44134</v>
      </c>
      <c r="AY256" s="137"/>
      <c r="AZ256" s="138">
        <f t="shared" si="132"/>
        <v>44134</v>
      </c>
      <c r="BA256" s="135" t="b">
        <f t="shared" si="133"/>
        <v>1</v>
      </c>
      <c r="BB256" s="135">
        <f t="shared" si="134"/>
        <v>44134</v>
      </c>
      <c r="BC256" s="135" t="str">
        <f t="shared" si="135"/>
        <v>no</v>
      </c>
      <c r="BD256" s="135" t="b">
        <f t="shared" si="136"/>
        <v>0</v>
      </c>
      <c r="BE256" s="139" t="s">
        <v>59</v>
      </c>
      <c r="BF256" s="350"/>
    </row>
    <row r="257" spans="1:58" s="331" customFormat="1" ht="154">
      <c r="A257" s="338" t="s">
        <v>784</v>
      </c>
      <c r="B257" s="336" t="s">
        <v>785</v>
      </c>
      <c r="C257" s="338"/>
      <c r="D257" s="338">
        <v>10093748</v>
      </c>
      <c r="E257" s="338"/>
      <c r="F257" s="351" t="s">
        <v>713</v>
      </c>
      <c r="G257" s="352">
        <v>44148</v>
      </c>
      <c r="H257" s="353">
        <v>44148</v>
      </c>
      <c r="I257" s="352">
        <v>44165</v>
      </c>
      <c r="J257" s="353">
        <v>44166</v>
      </c>
      <c r="K257" s="352">
        <f t="shared" si="139"/>
        <v>44208</v>
      </c>
      <c r="L257" s="352" t="s">
        <v>783</v>
      </c>
      <c r="M257" s="352" t="s">
        <v>383</v>
      </c>
      <c r="N257" s="352" t="s">
        <v>383</v>
      </c>
      <c r="O257" s="352"/>
      <c r="P257" s="352"/>
      <c r="Q257" s="332" t="s">
        <v>106</v>
      </c>
      <c r="R257" s="332" t="s">
        <v>731</v>
      </c>
      <c r="S257" s="332">
        <f t="shared" si="138"/>
        <v>17</v>
      </c>
      <c r="T257" s="332">
        <v>39</v>
      </c>
      <c r="U257" s="332">
        <v>0</v>
      </c>
      <c r="V257" s="332">
        <v>17</v>
      </c>
      <c r="W257" s="332" t="s">
        <v>717</v>
      </c>
      <c r="X257" s="332"/>
      <c r="Y257" s="332"/>
      <c r="Z257" s="332" t="s">
        <v>52</v>
      </c>
      <c r="AA257" s="332" t="s">
        <v>53</v>
      </c>
      <c r="AB257" s="332" t="s">
        <v>52</v>
      </c>
      <c r="AC257" s="332" t="s">
        <v>48</v>
      </c>
      <c r="AD257" s="332" t="s">
        <v>766</v>
      </c>
      <c r="AE257" s="332" t="s">
        <v>766</v>
      </c>
      <c r="AF257" s="332" t="s">
        <v>766</v>
      </c>
      <c r="AG257" s="332" t="s">
        <v>85</v>
      </c>
      <c r="AH257" s="332" t="s">
        <v>86</v>
      </c>
      <c r="AI257" s="332" t="s">
        <v>48</v>
      </c>
      <c r="AJ257" s="354"/>
      <c r="AK257" s="354"/>
      <c r="AL257" s="332" t="s">
        <v>761</v>
      </c>
      <c r="AM257" s="332"/>
      <c r="AN257" s="332" t="s">
        <v>786</v>
      </c>
      <c r="AO257" s="340"/>
      <c r="AP257" s="340"/>
      <c r="AQ257" s="474"/>
      <c r="AR257" s="135">
        <f>COUNTIF(B:B,B257)</f>
        <v>1</v>
      </c>
      <c r="AS257" s="135" t="str">
        <f t="shared" si="127"/>
        <v>2020_11_13_a</v>
      </c>
      <c r="AT257" s="136"/>
      <c r="AU257" s="135" t="str">
        <f t="shared" si="128"/>
        <v>2020</v>
      </c>
      <c r="AV257" s="135" t="str">
        <f t="shared" si="129"/>
        <v>11</v>
      </c>
      <c r="AW257" s="135" t="str">
        <f t="shared" si="130"/>
        <v>13</v>
      </c>
      <c r="AX257" s="135">
        <f t="shared" si="131"/>
        <v>44148</v>
      </c>
      <c r="AY257" s="137"/>
      <c r="AZ257" s="138">
        <f t="shared" si="132"/>
        <v>44148</v>
      </c>
      <c r="BA257" s="135" t="b">
        <f t="shared" si="133"/>
        <v>1</v>
      </c>
      <c r="BB257" s="135">
        <f t="shared" si="134"/>
        <v>44148</v>
      </c>
      <c r="BC257" s="135" t="str">
        <f t="shared" si="135"/>
        <v>no</v>
      </c>
      <c r="BD257" s="135" t="b">
        <f t="shared" si="136"/>
        <v>0</v>
      </c>
      <c r="BE257" s="139" t="s">
        <v>59</v>
      </c>
      <c r="BF257" s="350"/>
    </row>
    <row r="258" spans="1:58" s="331" customFormat="1" ht="154">
      <c r="A258" s="338" t="s">
        <v>787</v>
      </c>
      <c r="B258" s="336" t="s">
        <v>788</v>
      </c>
      <c r="C258" s="338"/>
      <c r="D258" s="338">
        <v>10092003</v>
      </c>
      <c r="E258" s="338"/>
      <c r="F258" s="351" t="s">
        <v>713</v>
      </c>
      <c r="G258" s="352">
        <v>44145</v>
      </c>
      <c r="H258" s="353">
        <v>44145</v>
      </c>
      <c r="I258" s="352">
        <v>44165</v>
      </c>
      <c r="J258" s="353">
        <v>44166</v>
      </c>
      <c r="K258" s="352">
        <f t="shared" si="139"/>
        <v>44208</v>
      </c>
      <c r="L258" s="352" t="s">
        <v>783</v>
      </c>
      <c r="M258" s="352" t="s">
        <v>383</v>
      </c>
      <c r="N258" s="352" t="s">
        <v>383</v>
      </c>
      <c r="O258" s="352"/>
      <c r="P258" s="352"/>
      <c r="Q258" s="332" t="s">
        <v>106</v>
      </c>
      <c r="R258" s="332" t="s">
        <v>716</v>
      </c>
      <c r="S258" s="332">
        <f t="shared" si="138"/>
        <v>38</v>
      </c>
      <c r="T258" s="332">
        <v>26</v>
      </c>
      <c r="U258" s="332">
        <v>0</v>
      </c>
      <c r="V258" s="332">
        <v>38</v>
      </c>
      <c r="W258" s="332" t="s">
        <v>717</v>
      </c>
      <c r="X258" s="332"/>
      <c r="Y258" s="332"/>
      <c r="Z258" s="332" t="s">
        <v>52</v>
      </c>
      <c r="AA258" s="332" t="s">
        <v>53</v>
      </c>
      <c r="AB258" s="332" t="s">
        <v>52</v>
      </c>
      <c r="AC258" s="332" t="s">
        <v>48</v>
      </c>
      <c r="AD258" s="332" t="s">
        <v>766</v>
      </c>
      <c r="AE258" s="332" t="s">
        <v>766</v>
      </c>
      <c r="AF258" s="332" t="s">
        <v>766</v>
      </c>
      <c r="AG258" s="332" t="s">
        <v>85</v>
      </c>
      <c r="AH258" s="332" t="s">
        <v>86</v>
      </c>
      <c r="AI258" s="332" t="s">
        <v>48</v>
      </c>
      <c r="AJ258" s="354"/>
      <c r="AK258" s="354"/>
      <c r="AL258" s="332" t="s">
        <v>761</v>
      </c>
      <c r="AM258" s="332"/>
      <c r="AN258" s="332" t="s">
        <v>719</v>
      </c>
      <c r="AO258" s="340"/>
      <c r="AP258" s="340"/>
      <c r="AQ258" s="474"/>
      <c r="AR258" s="135">
        <f>COUNTIF(B:B,B258)</f>
        <v>1</v>
      </c>
      <c r="AS258" s="135" t="str">
        <f t="shared" si="127"/>
        <v>2020_11_10_a</v>
      </c>
      <c r="AT258" s="136"/>
      <c r="AU258" s="135" t="str">
        <f t="shared" si="128"/>
        <v>2020</v>
      </c>
      <c r="AV258" s="135" t="str">
        <f t="shared" si="129"/>
        <v>11</v>
      </c>
      <c r="AW258" s="135" t="str">
        <f t="shared" si="130"/>
        <v>10</v>
      </c>
      <c r="AX258" s="135">
        <f t="shared" si="131"/>
        <v>44145</v>
      </c>
      <c r="AY258" s="137"/>
      <c r="AZ258" s="138">
        <f t="shared" si="132"/>
        <v>44145</v>
      </c>
      <c r="BA258" s="135" t="b">
        <f t="shared" si="133"/>
        <v>1</v>
      </c>
      <c r="BB258" s="135">
        <f t="shared" si="134"/>
        <v>44145</v>
      </c>
      <c r="BC258" s="135" t="str">
        <f t="shared" si="135"/>
        <v>no</v>
      </c>
      <c r="BD258" s="135" t="b">
        <f t="shared" si="136"/>
        <v>0</v>
      </c>
      <c r="BE258" s="139" t="s">
        <v>59</v>
      </c>
      <c r="BF258" s="350"/>
    </row>
    <row r="259" spans="1:58" s="331" customFormat="1" ht="154">
      <c r="A259" s="338" t="s">
        <v>789</v>
      </c>
      <c r="B259" s="336" t="s">
        <v>790</v>
      </c>
      <c r="C259" s="338"/>
      <c r="D259" s="338">
        <v>10094976</v>
      </c>
      <c r="E259" s="338"/>
      <c r="F259" s="351" t="s">
        <v>713</v>
      </c>
      <c r="G259" s="352">
        <v>44172</v>
      </c>
      <c r="H259" s="353">
        <v>44172</v>
      </c>
      <c r="I259" s="352">
        <v>44183</v>
      </c>
      <c r="J259" s="353">
        <v>44186</v>
      </c>
      <c r="K259" s="352">
        <f>WORKDAY(J259,30)</f>
        <v>44228</v>
      </c>
      <c r="L259" s="352" t="s">
        <v>791</v>
      </c>
      <c r="M259" s="352" t="s">
        <v>383</v>
      </c>
      <c r="N259" s="352" t="s">
        <v>383</v>
      </c>
      <c r="O259" s="352"/>
      <c r="P259" s="352"/>
      <c r="Q259" s="332" t="s">
        <v>106</v>
      </c>
      <c r="R259" s="332" t="s">
        <v>716</v>
      </c>
      <c r="S259" s="332">
        <f t="shared" si="138"/>
        <v>238</v>
      </c>
      <c r="T259" s="332">
        <v>25</v>
      </c>
      <c r="U259" s="332">
        <v>0</v>
      </c>
      <c r="V259" s="332">
        <v>238</v>
      </c>
      <c r="W259" s="332" t="s">
        <v>717</v>
      </c>
      <c r="X259" s="332"/>
      <c r="Y259" s="332"/>
      <c r="Z259" s="332" t="s">
        <v>52</v>
      </c>
      <c r="AA259" s="332" t="s">
        <v>766</v>
      </c>
      <c r="AB259" s="332" t="s">
        <v>53</v>
      </c>
      <c r="AC259" s="332" t="s">
        <v>48</v>
      </c>
      <c r="AD259" s="332" t="s">
        <v>766</v>
      </c>
      <c r="AE259" s="332" t="s">
        <v>766</v>
      </c>
      <c r="AF259" s="332" t="s">
        <v>766</v>
      </c>
      <c r="AG259" s="332" t="s">
        <v>85</v>
      </c>
      <c r="AH259" s="332" t="s">
        <v>86</v>
      </c>
      <c r="AI259" s="332" t="s">
        <v>48</v>
      </c>
      <c r="AJ259" s="354"/>
      <c r="AK259" s="354"/>
      <c r="AL259" s="332" t="s">
        <v>761</v>
      </c>
      <c r="AM259" s="332"/>
      <c r="AN259" s="332" t="s">
        <v>792</v>
      </c>
      <c r="AO259" s="340"/>
      <c r="AP259" s="340"/>
      <c r="AQ259" s="474"/>
      <c r="AR259" s="135">
        <f>COUNTIF(B:B,B259)</f>
        <v>1</v>
      </c>
      <c r="AS259" s="135" t="str">
        <f t="shared" si="127"/>
        <v>2020_12_07_a</v>
      </c>
      <c r="AT259" s="136"/>
      <c r="AU259" s="135" t="str">
        <f t="shared" si="128"/>
        <v>2020</v>
      </c>
      <c r="AV259" s="135" t="str">
        <f t="shared" si="129"/>
        <v>12</v>
      </c>
      <c r="AW259" s="135" t="str">
        <f t="shared" si="130"/>
        <v>07</v>
      </c>
      <c r="AX259" s="135">
        <f t="shared" si="131"/>
        <v>44172</v>
      </c>
      <c r="AY259" s="137"/>
      <c r="AZ259" s="138">
        <f t="shared" si="132"/>
        <v>44172</v>
      </c>
      <c r="BA259" s="135" t="b">
        <f t="shared" si="133"/>
        <v>1</v>
      </c>
      <c r="BB259" s="135">
        <f t="shared" si="134"/>
        <v>44172</v>
      </c>
      <c r="BC259" s="135" t="str">
        <f t="shared" si="135"/>
        <v>no</v>
      </c>
      <c r="BD259" s="135" t="b">
        <f t="shared" si="136"/>
        <v>0</v>
      </c>
      <c r="BE259" s="139" t="s">
        <v>59</v>
      </c>
      <c r="BF259" s="350"/>
    </row>
    <row r="260" spans="1:58" s="331" customFormat="1" ht="154">
      <c r="A260" s="338"/>
      <c r="B260" s="336" t="s">
        <v>793</v>
      </c>
      <c r="C260" s="338"/>
      <c r="D260" s="338">
        <v>10092295</v>
      </c>
      <c r="E260" s="338"/>
      <c r="F260" s="351" t="s">
        <v>713</v>
      </c>
      <c r="G260" s="352">
        <v>44159</v>
      </c>
      <c r="H260" s="353">
        <v>44159</v>
      </c>
      <c r="I260" s="352">
        <v>44176</v>
      </c>
      <c r="J260" s="353">
        <v>44179</v>
      </c>
      <c r="K260" s="352">
        <f>WORKDAY(J260,30)</f>
        <v>44221</v>
      </c>
      <c r="L260" s="352" t="s">
        <v>791</v>
      </c>
      <c r="M260" s="352" t="s">
        <v>383</v>
      </c>
      <c r="N260" s="352" t="s">
        <v>383</v>
      </c>
      <c r="O260" s="352"/>
      <c r="P260" s="352"/>
      <c r="Q260" s="332" t="s">
        <v>106</v>
      </c>
      <c r="R260" s="332" t="s">
        <v>725</v>
      </c>
      <c r="S260" s="332">
        <f t="shared" si="138"/>
        <v>17</v>
      </c>
      <c r="T260" s="332">
        <v>30</v>
      </c>
      <c r="U260" s="332">
        <v>0</v>
      </c>
      <c r="V260" s="332">
        <v>17</v>
      </c>
      <c r="W260" s="332" t="s">
        <v>717</v>
      </c>
      <c r="X260" s="332"/>
      <c r="Y260" s="332"/>
      <c r="Z260" s="332" t="s">
        <v>52</v>
      </c>
      <c r="AA260" s="332" t="s">
        <v>53</v>
      </c>
      <c r="AB260" s="332" t="s">
        <v>53</v>
      </c>
      <c r="AC260" s="332" t="s">
        <v>48</v>
      </c>
      <c r="AD260" s="332" t="s">
        <v>766</v>
      </c>
      <c r="AE260" s="332" t="s">
        <v>766</v>
      </c>
      <c r="AF260" s="332" t="s">
        <v>766</v>
      </c>
      <c r="AG260" s="332" t="s">
        <v>85</v>
      </c>
      <c r="AH260" s="332" t="s">
        <v>86</v>
      </c>
      <c r="AI260" s="332" t="s">
        <v>48</v>
      </c>
      <c r="AJ260" s="354"/>
      <c r="AK260" s="354"/>
      <c r="AL260" s="332" t="s">
        <v>718</v>
      </c>
      <c r="AM260" s="332"/>
      <c r="AN260" s="332" t="s">
        <v>719</v>
      </c>
      <c r="AO260" s="340"/>
      <c r="AP260" s="340"/>
      <c r="AQ260" s="474"/>
      <c r="AR260" s="135">
        <f>COUNTIF(B:B,B260)</f>
        <v>1</v>
      </c>
      <c r="AS260" s="135" t="str">
        <f t="shared" si="127"/>
        <v>2020_11_24_a</v>
      </c>
      <c r="AT260" s="136"/>
      <c r="AU260" s="135" t="str">
        <f t="shared" si="128"/>
        <v>2020</v>
      </c>
      <c r="AV260" s="135" t="str">
        <f t="shared" si="129"/>
        <v>11</v>
      </c>
      <c r="AW260" s="135" t="str">
        <f t="shared" si="130"/>
        <v>24</v>
      </c>
      <c r="AX260" s="135">
        <f t="shared" si="131"/>
        <v>44159</v>
      </c>
      <c r="AY260" s="137"/>
      <c r="AZ260" s="138">
        <f t="shared" si="132"/>
        <v>44159</v>
      </c>
      <c r="BA260" s="135" t="b">
        <f t="shared" si="133"/>
        <v>1</v>
      </c>
      <c r="BB260" s="135">
        <f t="shared" si="134"/>
        <v>44159</v>
      </c>
      <c r="BC260" s="135" t="str">
        <f t="shared" si="135"/>
        <v>no</v>
      </c>
      <c r="BD260" s="135" t="b">
        <f t="shared" si="136"/>
        <v>0</v>
      </c>
      <c r="BE260" s="139" t="s">
        <v>59</v>
      </c>
      <c r="BF260" s="350"/>
    </row>
    <row r="261" spans="1:58" s="331" customFormat="1" ht="154">
      <c r="A261" s="338" t="s">
        <v>794</v>
      </c>
      <c r="B261" s="336" t="s">
        <v>795</v>
      </c>
      <c r="C261" s="338"/>
      <c r="D261" s="338">
        <v>10095540</v>
      </c>
      <c r="E261" s="338"/>
      <c r="F261" s="351" t="s">
        <v>713</v>
      </c>
      <c r="G261" s="352" t="s">
        <v>796</v>
      </c>
      <c r="H261" s="353">
        <v>44193</v>
      </c>
      <c r="I261" s="352">
        <v>44211</v>
      </c>
      <c r="J261" s="353">
        <v>44214</v>
      </c>
      <c r="K261" s="352">
        <f>WORKDAY(J261,30)</f>
        <v>44256</v>
      </c>
      <c r="L261" s="352" t="s">
        <v>791</v>
      </c>
      <c r="M261" s="352" t="s">
        <v>383</v>
      </c>
      <c r="N261" s="352" t="s">
        <v>383</v>
      </c>
      <c r="O261" s="352"/>
      <c r="P261" s="352"/>
      <c r="Q261" s="332" t="s">
        <v>106</v>
      </c>
      <c r="R261" s="332" t="s">
        <v>731</v>
      </c>
      <c r="S261" s="332">
        <f t="shared" si="138"/>
        <v>39</v>
      </c>
      <c r="T261" s="332">
        <v>38</v>
      </c>
      <c r="U261" s="332">
        <v>0</v>
      </c>
      <c r="V261" s="332">
        <v>39</v>
      </c>
      <c r="W261" s="332" t="s">
        <v>717</v>
      </c>
      <c r="X261" s="332"/>
      <c r="Y261" s="332"/>
      <c r="Z261" s="332" t="s">
        <v>52</v>
      </c>
      <c r="AA261" s="332" t="s">
        <v>53</v>
      </c>
      <c r="AB261" s="332" t="s">
        <v>53</v>
      </c>
      <c r="AC261" s="332" t="s">
        <v>48</v>
      </c>
      <c r="AD261" s="332" t="s">
        <v>766</v>
      </c>
      <c r="AE261" s="332" t="s">
        <v>766</v>
      </c>
      <c r="AF261" s="332" t="s">
        <v>766</v>
      </c>
      <c r="AG261" s="332" t="s">
        <v>85</v>
      </c>
      <c r="AH261" s="332" t="s">
        <v>86</v>
      </c>
      <c r="AI261" s="332" t="s">
        <v>48</v>
      </c>
      <c r="AJ261" s="354"/>
      <c r="AK261" s="354"/>
      <c r="AL261" s="332" t="s">
        <v>761</v>
      </c>
      <c r="AM261" s="332"/>
      <c r="AN261" s="332" t="s">
        <v>797</v>
      </c>
      <c r="AO261" s="340"/>
      <c r="AP261" s="340"/>
      <c r="AQ261" s="474"/>
      <c r="AR261" s="135">
        <f>COUNTIF(B:B,B261)</f>
        <v>1</v>
      </c>
      <c r="AS261" s="135" t="str">
        <f t="shared" si="127"/>
        <v>2020_12_28_a</v>
      </c>
      <c r="AT261" s="136"/>
      <c r="AU261" s="135" t="str">
        <f t="shared" si="128"/>
        <v>2020</v>
      </c>
      <c r="AV261" s="135" t="str">
        <f t="shared" si="129"/>
        <v>12</v>
      </c>
      <c r="AW261" s="135" t="str">
        <f t="shared" si="130"/>
        <v>28</v>
      </c>
      <c r="AX261" s="135">
        <f t="shared" si="131"/>
        <v>44193</v>
      </c>
      <c r="AY261" s="137"/>
      <c r="AZ261" s="138">
        <f t="shared" si="132"/>
        <v>44193</v>
      </c>
      <c r="BA261" s="135" t="b">
        <f t="shared" si="133"/>
        <v>1</v>
      </c>
      <c r="BB261" s="135">
        <f t="shared" si="134"/>
        <v>44193</v>
      </c>
      <c r="BC261" s="135" t="str">
        <f t="shared" si="135"/>
        <v>no</v>
      </c>
      <c r="BD261" s="135" t="b">
        <f t="shared" si="136"/>
        <v>0</v>
      </c>
      <c r="BE261" s="139" t="s">
        <v>59</v>
      </c>
      <c r="BF261" s="350"/>
    </row>
    <row r="262" spans="1:58" s="331" customFormat="1" ht="154">
      <c r="A262" s="338" t="s">
        <v>794</v>
      </c>
      <c r="B262" s="336" t="s">
        <v>798</v>
      </c>
      <c r="C262" s="338"/>
      <c r="D262" s="338">
        <v>10095572</v>
      </c>
      <c r="E262" s="338"/>
      <c r="F262" s="351" t="s">
        <v>713</v>
      </c>
      <c r="G262" s="352" t="s">
        <v>796</v>
      </c>
      <c r="H262" s="353">
        <v>44193</v>
      </c>
      <c r="I262" s="352">
        <v>44229</v>
      </c>
      <c r="J262" s="353">
        <v>44257</v>
      </c>
      <c r="K262" s="352">
        <v>44256</v>
      </c>
      <c r="L262" s="352" t="s">
        <v>791</v>
      </c>
      <c r="M262" s="352" t="s">
        <v>383</v>
      </c>
      <c r="N262" s="352" t="s">
        <v>383</v>
      </c>
      <c r="O262" s="352"/>
      <c r="P262" s="352"/>
      <c r="Q262" s="332" t="s">
        <v>106</v>
      </c>
      <c r="R262" s="332" t="s">
        <v>725</v>
      </c>
      <c r="S262" s="332">
        <f t="shared" si="138"/>
        <v>12</v>
      </c>
      <c r="T262" s="332">
        <v>30</v>
      </c>
      <c r="U262" s="332">
        <v>0</v>
      </c>
      <c r="V262" s="332">
        <v>12</v>
      </c>
      <c r="W262" s="332" t="s">
        <v>717</v>
      </c>
      <c r="X262" s="332"/>
      <c r="Y262" s="332"/>
      <c r="Z262" s="332" t="s">
        <v>52</v>
      </c>
      <c r="AA262" s="332" t="s">
        <v>53</v>
      </c>
      <c r="AB262" s="332" t="s">
        <v>53</v>
      </c>
      <c r="AC262" s="332" t="s">
        <v>48</v>
      </c>
      <c r="AD262" s="332" t="s">
        <v>766</v>
      </c>
      <c r="AE262" s="332" t="s">
        <v>766</v>
      </c>
      <c r="AF262" s="332" t="s">
        <v>766</v>
      </c>
      <c r="AG262" s="332" t="s">
        <v>85</v>
      </c>
      <c r="AH262" s="332" t="s">
        <v>86</v>
      </c>
      <c r="AI262" s="332" t="s">
        <v>48</v>
      </c>
      <c r="AJ262" s="354"/>
      <c r="AK262" s="354"/>
      <c r="AL262" s="332" t="s">
        <v>761</v>
      </c>
      <c r="AM262" s="332"/>
      <c r="AN262" s="332" t="s">
        <v>799</v>
      </c>
      <c r="AO262" s="340"/>
      <c r="AP262" s="340"/>
      <c r="AQ262" s="474"/>
      <c r="AR262" s="135">
        <f>COUNTIF(B:B,B262)</f>
        <v>1</v>
      </c>
      <c r="AS262" s="135" t="str">
        <f t="shared" si="127"/>
        <v>2020_12_28_a</v>
      </c>
      <c r="AT262" s="136"/>
      <c r="AU262" s="135" t="str">
        <f t="shared" si="128"/>
        <v>2020</v>
      </c>
      <c r="AV262" s="135" t="str">
        <f t="shared" si="129"/>
        <v>12</v>
      </c>
      <c r="AW262" s="135" t="str">
        <f t="shared" si="130"/>
        <v>28</v>
      </c>
      <c r="AX262" s="135">
        <f t="shared" si="131"/>
        <v>44193</v>
      </c>
      <c r="AY262" s="137"/>
      <c r="AZ262" s="138">
        <f t="shared" si="132"/>
        <v>44193</v>
      </c>
      <c r="BA262" s="135" t="b">
        <f t="shared" si="133"/>
        <v>1</v>
      </c>
      <c r="BB262" s="135">
        <f t="shared" si="134"/>
        <v>44193</v>
      </c>
      <c r="BC262" s="135" t="str">
        <f t="shared" si="135"/>
        <v>no</v>
      </c>
      <c r="BD262" s="135" t="b">
        <f t="shared" si="136"/>
        <v>0</v>
      </c>
      <c r="BE262" s="139" t="s">
        <v>59</v>
      </c>
      <c r="BF262" s="350"/>
    </row>
    <row r="263" spans="1:58" s="331" customFormat="1" ht="154">
      <c r="A263" s="338" t="s">
        <v>794</v>
      </c>
      <c r="B263" s="336" t="s">
        <v>800</v>
      </c>
      <c r="C263" s="338"/>
      <c r="D263" s="338">
        <v>10095694</v>
      </c>
      <c r="E263" s="338"/>
      <c r="F263" s="351" t="s">
        <v>713</v>
      </c>
      <c r="G263" s="352" t="s">
        <v>801</v>
      </c>
      <c r="H263" s="353">
        <v>44214</v>
      </c>
      <c r="I263" s="352"/>
      <c r="J263" s="353">
        <v>44228</v>
      </c>
      <c r="K263" s="352"/>
      <c r="L263" s="352"/>
      <c r="M263" s="352"/>
      <c r="N263" s="352"/>
      <c r="O263" s="352"/>
      <c r="P263" s="352"/>
      <c r="Q263" s="332" t="s">
        <v>49</v>
      </c>
      <c r="R263" s="332" t="s">
        <v>716</v>
      </c>
      <c r="S263" s="332">
        <f t="shared" si="138"/>
        <v>15</v>
      </c>
      <c r="T263" s="332"/>
      <c r="U263" s="332">
        <v>0</v>
      </c>
      <c r="V263" s="332">
        <v>15</v>
      </c>
      <c r="W263" s="332" t="s">
        <v>717</v>
      </c>
      <c r="X263" s="332"/>
      <c r="Y263" s="332"/>
      <c r="Z263" s="332" t="s">
        <v>52</v>
      </c>
      <c r="AA263" s="332" t="s">
        <v>53</v>
      </c>
      <c r="AB263" s="332" t="s">
        <v>53</v>
      </c>
      <c r="AC263" s="332" t="s">
        <v>48</v>
      </c>
      <c r="AD263" s="332" t="s">
        <v>766</v>
      </c>
      <c r="AE263" s="332" t="s">
        <v>766</v>
      </c>
      <c r="AF263" s="332" t="s">
        <v>766</v>
      </c>
      <c r="AG263" s="332" t="s">
        <v>85</v>
      </c>
      <c r="AH263" s="332" t="s">
        <v>86</v>
      </c>
      <c r="AI263" s="332" t="s">
        <v>48</v>
      </c>
      <c r="AJ263" s="354"/>
      <c r="AK263" s="354"/>
      <c r="AL263" s="332" t="s">
        <v>761</v>
      </c>
      <c r="AM263" s="332"/>
      <c r="AN263" s="332"/>
      <c r="AO263" s="340"/>
      <c r="AP263" s="340"/>
      <c r="AQ263" s="474"/>
      <c r="AR263" s="135">
        <f>COUNTIF(B:B,B263)</f>
        <v>1</v>
      </c>
      <c r="AS263" s="135" t="str">
        <f t="shared" si="127"/>
        <v>2021_01_18_a</v>
      </c>
      <c r="AT263" s="136"/>
      <c r="AU263" s="135" t="str">
        <f t="shared" si="128"/>
        <v>2021</v>
      </c>
      <c r="AV263" s="135" t="str">
        <f t="shared" si="129"/>
        <v>01</v>
      </c>
      <c r="AW263" s="135" t="str">
        <f t="shared" si="130"/>
        <v>18</v>
      </c>
      <c r="AX263" s="135">
        <f t="shared" si="131"/>
        <v>44214</v>
      </c>
      <c r="AY263" s="137"/>
      <c r="AZ263" s="138">
        <f t="shared" si="132"/>
        <v>44214</v>
      </c>
      <c r="BA263" s="135" t="b">
        <f t="shared" si="133"/>
        <v>1</v>
      </c>
      <c r="BB263" s="135">
        <f t="shared" si="134"/>
        <v>44214</v>
      </c>
      <c r="BC263" s="135" t="str">
        <f t="shared" si="135"/>
        <v>no</v>
      </c>
      <c r="BD263" s="135" t="b">
        <f t="shared" si="136"/>
        <v>0</v>
      </c>
      <c r="BE263" s="139" t="s">
        <v>59</v>
      </c>
      <c r="BF263" s="350"/>
    </row>
    <row r="264" spans="1:58" s="331" customFormat="1" ht="154">
      <c r="A264" s="338"/>
      <c r="B264" s="336" t="s">
        <v>802</v>
      </c>
      <c r="C264" s="338"/>
      <c r="D264" s="338">
        <v>10097154</v>
      </c>
      <c r="E264" s="338"/>
      <c r="F264" s="351" t="s">
        <v>713</v>
      </c>
      <c r="G264" s="352" t="s">
        <v>803</v>
      </c>
      <c r="H264" s="353">
        <v>44236</v>
      </c>
      <c r="I264" s="352"/>
      <c r="J264" s="353">
        <v>44257</v>
      </c>
      <c r="K264" s="352"/>
      <c r="L264" s="352"/>
      <c r="M264" s="352"/>
      <c r="N264" s="352"/>
      <c r="O264" s="352"/>
      <c r="P264" s="352"/>
      <c r="Q264" s="332" t="s">
        <v>49</v>
      </c>
      <c r="R264" s="332" t="s">
        <v>716</v>
      </c>
      <c r="S264" s="332">
        <f t="shared" si="138"/>
        <v>40</v>
      </c>
      <c r="T264" s="332"/>
      <c r="U264" s="332">
        <v>0</v>
      </c>
      <c r="V264" s="332">
        <v>40</v>
      </c>
      <c r="W264" s="332"/>
      <c r="X264" s="332"/>
      <c r="Y264" s="332"/>
      <c r="Z264" s="332"/>
      <c r="AA264" s="332"/>
      <c r="AB264" s="332"/>
      <c r="AC264" s="332"/>
      <c r="AD264" s="332"/>
      <c r="AE264" s="332"/>
      <c r="AF264" s="332"/>
      <c r="AG264" s="332" t="s">
        <v>85</v>
      </c>
      <c r="AH264" s="332" t="s">
        <v>86</v>
      </c>
      <c r="AI264" s="332"/>
      <c r="AJ264" s="354"/>
      <c r="AK264" s="354"/>
      <c r="AL264" s="332"/>
      <c r="AM264" s="332"/>
      <c r="AN264" s="332"/>
      <c r="AO264" s="340"/>
      <c r="AP264" s="340"/>
      <c r="AQ264" s="474"/>
      <c r="AR264" s="135">
        <f>COUNTIF(B:B,B264)</f>
        <v>1</v>
      </c>
      <c r="AS264" s="135" t="str">
        <f t="shared" si="127"/>
        <v>2021_02_09_a</v>
      </c>
      <c r="AT264" s="136"/>
      <c r="AU264" s="135" t="str">
        <f t="shared" si="128"/>
        <v>2021</v>
      </c>
      <c r="AV264" s="135" t="str">
        <f t="shared" si="129"/>
        <v>02</v>
      </c>
      <c r="AW264" s="135" t="str">
        <f t="shared" si="130"/>
        <v>09</v>
      </c>
      <c r="AX264" s="135">
        <f t="shared" si="131"/>
        <v>44236</v>
      </c>
      <c r="AY264" s="137"/>
      <c r="AZ264" s="138">
        <f t="shared" si="132"/>
        <v>44236</v>
      </c>
      <c r="BA264" s="135" t="b">
        <f t="shared" si="133"/>
        <v>1</v>
      </c>
      <c r="BB264" s="135">
        <f t="shared" si="134"/>
        <v>44236</v>
      </c>
      <c r="BC264" s="135" t="str">
        <f t="shared" si="135"/>
        <v>no</v>
      </c>
      <c r="BD264" s="135" t="b">
        <f t="shared" si="136"/>
        <v>0</v>
      </c>
      <c r="BE264" s="139" t="s">
        <v>59</v>
      </c>
      <c r="BF264" s="350"/>
    </row>
    <row r="265" spans="1:58" s="331" customFormat="1" ht="154">
      <c r="A265" s="338"/>
      <c r="B265" s="336" t="s">
        <v>804</v>
      </c>
      <c r="C265" s="338"/>
      <c r="D265" s="338">
        <v>10097703</v>
      </c>
      <c r="E265" s="338"/>
      <c r="F265" s="356" t="s">
        <v>713</v>
      </c>
      <c r="G265" s="357" t="s">
        <v>803</v>
      </c>
      <c r="H265" s="358">
        <v>44253</v>
      </c>
      <c r="I265" s="352"/>
      <c r="J265" s="353">
        <f t="shared" ref="J265:J286" si="140">H265+14</f>
        <v>44267</v>
      </c>
      <c r="K265" s="352"/>
      <c r="L265" s="352"/>
      <c r="M265" s="352"/>
      <c r="N265" s="352"/>
      <c r="O265" s="352"/>
      <c r="P265" s="352"/>
      <c r="Q265" s="332" t="s">
        <v>49</v>
      </c>
      <c r="R265" s="332" t="s">
        <v>731</v>
      </c>
      <c r="S265" s="332">
        <f t="shared" si="138"/>
        <v>19</v>
      </c>
      <c r="T265" s="332"/>
      <c r="U265" s="332">
        <v>0</v>
      </c>
      <c r="V265" s="332">
        <v>19</v>
      </c>
      <c r="W265" s="332"/>
      <c r="X265" s="332"/>
      <c r="Y265" s="332"/>
      <c r="Z265" s="332"/>
      <c r="AA265" s="332"/>
      <c r="AB265" s="332"/>
      <c r="AC265" s="332"/>
      <c r="AD265" s="332"/>
      <c r="AE265" s="332"/>
      <c r="AF265" s="332"/>
      <c r="AG265" s="332" t="s">
        <v>85</v>
      </c>
      <c r="AH265" s="332" t="s">
        <v>86</v>
      </c>
      <c r="AI265" s="332"/>
      <c r="AJ265" s="354"/>
      <c r="AK265" s="354"/>
      <c r="AL265" s="332"/>
      <c r="AM265" s="332"/>
      <c r="AN265" s="332"/>
      <c r="AO265" s="340"/>
      <c r="AP265" s="340"/>
      <c r="AQ265" s="474"/>
      <c r="AR265" s="135">
        <f>COUNTIF(B:B,B265)</f>
        <v>1</v>
      </c>
      <c r="AS265" s="135" t="str">
        <f t="shared" si="127"/>
        <v>2021_02_26_a</v>
      </c>
      <c r="AT265" s="136"/>
      <c r="AU265" s="135" t="str">
        <f t="shared" si="128"/>
        <v>2021</v>
      </c>
      <c r="AV265" s="135" t="str">
        <f t="shared" si="129"/>
        <v>02</v>
      </c>
      <c r="AW265" s="135" t="str">
        <f t="shared" si="130"/>
        <v>26</v>
      </c>
      <c r="AX265" s="135">
        <f t="shared" si="131"/>
        <v>44253</v>
      </c>
      <c r="AY265" s="137"/>
      <c r="AZ265" s="138">
        <f t="shared" si="132"/>
        <v>44253</v>
      </c>
      <c r="BA265" s="135" t="b">
        <f t="shared" si="133"/>
        <v>1</v>
      </c>
      <c r="BB265" s="135">
        <f t="shared" si="134"/>
        <v>44253</v>
      </c>
      <c r="BC265" s="135" t="str">
        <f t="shared" si="135"/>
        <v>no</v>
      </c>
      <c r="BD265" s="135" t="b">
        <f t="shared" si="136"/>
        <v>0</v>
      </c>
      <c r="BE265" s="139" t="s">
        <v>59</v>
      </c>
      <c r="BF265" s="350"/>
    </row>
    <row r="266" spans="1:58" s="331" customFormat="1" ht="154">
      <c r="A266" s="338"/>
      <c r="B266" s="336" t="s">
        <v>805</v>
      </c>
      <c r="C266" s="338"/>
      <c r="D266" s="338">
        <v>10097778</v>
      </c>
      <c r="E266" s="338"/>
      <c r="F266" s="356" t="s">
        <v>713</v>
      </c>
      <c r="G266" s="357" t="s">
        <v>806</v>
      </c>
      <c r="H266" s="358">
        <v>44259</v>
      </c>
      <c r="I266" s="352"/>
      <c r="J266" s="353">
        <f t="shared" si="140"/>
        <v>44273</v>
      </c>
      <c r="K266" s="352"/>
      <c r="L266" s="352"/>
      <c r="M266" s="352"/>
      <c r="N266" s="352"/>
      <c r="O266" s="352"/>
      <c r="P266" s="352"/>
      <c r="Q266" s="332" t="s">
        <v>49</v>
      </c>
      <c r="R266" s="332" t="s">
        <v>725</v>
      </c>
      <c r="S266" s="332">
        <f t="shared" si="138"/>
        <v>31</v>
      </c>
      <c r="T266" s="332"/>
      <c r="U266" s="332">
        <v>0</v>
      </c>
      <c r="V266" s="332">
        <v>31</v>
      </c>
      <c r="W266" s="332"/>
      <c r="X266" s="332"/>
      <c r="Y266" s="332"/>
      <c r="Z266" s="332"/>
      <c r="AA266" s="332"/>
      <c r="AB266" s="332"/>
      <c r="AC266" s="332"/>
      <c r="AD266" s="332"/>
      <c r="AE266" s="332"/>
      <c r="AF266" s="332"/>
      <c r="AG266" s="332" t="s">
        <v>85</v>
      </c>
      <c r="AH266" s="332" t="s">
        <v>86</v>
      </c>
      <c r="AI266" s="332"/>
      <c r="AJ266" s="354"/>
      <c r="AK266" s="354"/>
      <c r="AL266" s="332"/>
      <c r="AM266" s="332"/>
      <c r="AN266" s="332"/>
      <c r="AO266" s="340"/>
      <c r="AP266" s="340"/>
      <c r="AQ266" s="474"/>
      <c r="AR266" s="135">
        <f>COUNTIF(B:B,B266)</f>
        <v>1</v>
      </c>
      <c r="AS266" s="135" t="str">
        <f t="shared" si="127"/>
        <v>2021_03_04_a</v>
      </c>
      <c r="AT266" s="136"/>
      <c r="AU266" s="135" t="str">
        <f t="shared" si="128"/>
        <v>2021</v>
      </c>
      <c r="AV266" s="135" t="str">
        <f t="shared" si="129"/>
        <v>03</v>
      </c>
      <c r="AW266" s="135" t="str">
        <f t="shared" si="130"/>
        <v>04</v>
      </c>
      <c r="AX266" s="135">
        <f t="shared" si="131"/>
        <v>44259</v>
      </c>
      <c r="AY266" s="137"/>
      <c r="AZ266" s="138">
        <f t="shared" si="132"/>
        <v>44259</v>
      </c>
      <c r="BA266" s="135" t="b">
        <f t="shared" si="133"/>
        <v>1</v>
      </c>
      <c r="BB266" s="135">
        <f t="shared" si="134"/>
        <v>44259</v>
      </c>
      <c r="BC266" s="135" t="str">
        <f t="shared" si="135"/>
        <v>no</v>
      </c>
      <c r="BD266" s="135" t="b">
        <f t="shared" si="136"/>
        <v>0</v>
      </c>
      <c r="BE266" s="139" t="s">
        <v>59</v>
      </c>
      <c r="BF266" s="350"/>
    </row>
    <row r="267" spans="1:58" s="331" customFormat="1" ht="154">
      <c r="A267" s="338"/>
      <c r="B267" s="336" t="s">
        <v>807</v>
      </c>
      <c r="C267" s="338"/>
      <c r="D267" s="338">
        <v>10098055</v>
      </c>
      <c r="E267" s="338"/>
      <c r="F267" s="356" t="s">
        <v>713</v>
      </c>
      <c r="G267" s="357" t="s">
        <v>806</v>
      </c>
      <c r="H267" s="358">
        <v>44271</v>
      </c>
      <c r="I267" s="352"/>
      <c r="J267" s="353">
        <f t="shared" si="140"/>
        <v>44285</v>
      </c>
      <c r="K267" s="352"/>
      <c r="L267" s="352"/>
      <c r="M267" s="352"/>
      <c r="N267" s="352"/>
      <c r="O267" s="352"/>
      <c r="P267" s="352"/>
      <c r="Q267" s="332" t="s">
        <v>49</v>
      </c>
      <c r="R267" s="332" t="s">
        <v>716</v>
      </c>
      <c r="S267" s="332">
        <f t="shared" si="138"/>
        <v>94</v>
      </c>
      <c r="T267" s="332"/>
      <c r="U267" s="332">
        <v>0</v>
      </c>
      <c r="V267" s="332">
        <v>94</v>
      </c>
      <c r="W267" s="332"/>
      <c r="X267" s="332"/>
      <c r="Y267" s="332"/>
      <c r="Z267" s="332"/>
      <c r="AA267" s="332"/>
      <c r="AB267" s="332"/>
      <c r="AC267" s="332"/>
      <c r="AD267" s="332"/>
      <c r="AE267" s="332"/>
      <c r="AF267" s="332"/>
      <c r="AG267" s="332" t="s">
        <v>85</v>
      </c>
      <c r="AH267" s="332" t="s">
        <v>86</v>
      </c>
      <c r="AI267" s="332"/>
      <c r="AJ267" s="354"/>
      <c r="AK267" s="354"/>
      <c r="AL267" s="332"/>
      <c r="AM267" s="332"/>
      <c r="AN267" s="332"/>
      <c r="AO267" s="340"/>
      <c r="AP267" s="340"/>
      <c r="AQ267" s="474"/>
      <c r="AR267" s="135">
        <f>COUNTIF(B:B,B267)</f>
        <v>1</v>
      </c>
      <c r="AS267" s="135" t="str">
        <f t="shared" si="127"/>
        <v>2021_03_16_a</v>
      </c>
      <c r="AT267" s="136"/>
      <c r="AU267" s="135" t="str">
        <f t="shared" si="128"/>
        <v>2021</v>
      </c>
      <c r="AV267" s="135" t="str">
        <f t="shared" si="129"/>
        <v>03</v>
      </c>
      <c r="AW267" s="135" t="str">
        <f t="shared" si="130"/>
        <v>16</v>
      </c>
      <c r="AX267" s="135">
        <f t="shared" si="131"/>
        <v>44271</v>
      </c>
      <c r="AY267" s="137"/>
      <c r="AZ267" s="138">
        <f t="shared" si="132"/>
        <v>44271</v>
      </c>
      <c r="BA267" s="135" t="b">
        <f t="shared" si="133"/>
        <v>1</v>
      </c>
      <c r="BB267" s="135">
        <f t="shared" si="134"/>
        <v>44271</v>
      </c>
      <c r="BC267" s="135" t="str">
        <f t="shared" si="135"/>
        <v>no</v>
      </c>
      <c r="BD267" s="135" t="b">
        <f t="shared" si="136"/>
        <v>0</v>
      </c>
      <c r="BE267" s="139" t="s">
        <v>59</v>
      </c>
      <c r="BF267" s="350"/>
    </row>
    <row r="268" spans="1:58" s="331" customFormat="1" ht="154">
      <c r="A268" s="338"/>
      <c r="B268" s="336" t="s">
        <v>808</v>
      </c>
      <c r="C268" s="338"/>
      <c r="D268" s="338">
        <v>10099872</v>
      </c>
      <c r="E268" s="338"/>
      <c r="F268" s="356" t="s">
        <v>713</v>
      </c>
      <c r="G268" s="357" t="s">
        <v>809</v>
      </c>
      <c r="H268" s="358">
        <v>44299</v>
      </c>
      <c r="I268" s="352"/>
      <c r="J268" s="353">
        <f t="shared" si="140"/>
        <v>44313</v>
      </c>
      <c r="K268" s="352"/>
      <c r="L268" s="352"/>
      <c r="M268" s="352"/>
      <c r="N268" s="352"/>
      <c r="O268" s="352"/>
      <c r="P268" s="352"/>
      <c r="Q268" s="332" t="s">
        <v>82</v>
      </c>
      <c r="R268" s="332" t="s">
        <v>725</v>
      </c>
      <c r="S268" s="332">
        <f t="shared" si="138"/>
        <v>22</v>
      </c>
      <c r="T268" s="332"/>
      <c r="U268" s="332">
        <v>0</v>
      </c>
      <c r="V268" s="332">
        <v>22</v>
      </c>
      <c r="W268" s="332"/>
      <c r="X268" s="332"/>
      <c r="Y268" s="332"/>
      <c r="Z268" s="332"/>
      <c r="AA268" s="332"/>
      <c r="AB268" s="332"/>
      <c r="AC268" s="332"/>
      <c r="AD268" s="332"/>
      <c r="AE268" s="332"/>
      <c r="AF268" s="332"/>
      <c r="AG268" s="332" t="s">
        <v>85</v>
      </c>
      <c r="AH268" s="332" t="s">
        <v>86</v>
      </c>
      <c r="AI268" s="332"/>
      <c r="AJ268" s="354"/>
      <c r="AK268" s="354"/>
      <c r="AL268" s="332"/>
      <c r="AM268" s="332"/>
      <c r="AN268" s="332"/>
      <c r="AO268" s="340"/>
      <c r="AP268" s="340"/>
      <c r="AQ268" s="474"/>
      <c r="AR268" s="135">
        <f>COUNTIF(B:B,B268)</f>
        <v>1</v>
      </c>
      <c r="AS268" s="135" t="str">
        <f t="shared" si="127"/>
        <v>2021_04_13_a</v>
      </c>
      <c r="AT268" s="136"/>
      <c r="AU268" s="135" t="str">
        <f t="shared" si="128"/>
        <v>2021</v>
      </c>
      <c r="AV268" s="135" t="str">
        <f t="shared" si="129"/>
        <v>04</v>
      </c>
      <c r="AW268" s="135" t="str">
        <f t="shared" si="130"/>
        <v>13</v>
      </c>
      <c r="AX268" s="135">
        <f t="shared" si="131"/>
        <v>44299</v>
      </c>
      <c r="AY268" s="137"/>
      <c r="AZ268" s="138">
        <f t="shared" si="132"/>
        <v>44299</v>
      </c>
      <c r="BA268" s="135" t="b">
        <f t="shared" si="133"/>
        <v>1</v>
      </c>
      <c r="BB268" s="135">
        <f t="shared" si="134"/>
        <v>44299</v>
      </c>
      <c r="BC268" s="135" t="str">
        <f t="shared" si="135"/>
        <v>no</v>
      </c>
      <c r="BD268" s="135" t="b">
        <f t="shared" si="136"/>
        <v>0</v>
      </c>
      <c r="BE268" s="139" t="s">
        <v>59</v>
      </c>
      <c r="BF268" s="350"/>
    </row>
    <row r="269" spans="1:58" s="331" customFormat="1" ht="154">
      <c r="A269" s="338"/>
      <c r="B269" s="336" t="s">
        <v>810</v>
      </c>
      <c r="C269" s="338"/>
      <c r="D269" s="338">
        <v>10099711</v>
      </c>
      <c r="E269" s="338"/>
      <c r="F269" s="356" t="s">
        <v>713</v>
      </c>
      <c r="G269" s="357" t="s">
        <v>809</v>
      </c>
      <c r="H269" s="358">
        <v>44306</v>
      </c>
      <c r="I269" s="352"/>
      <c r="J269" s="353">
        <f t="shared" si="140"/>
        <v>44320</v>
      </c>
      <c r="K269" s="352"/>
      <c r="L269" s="352"/>
      <c r="M269" s="352"/>
      <c r="N269" s="352"/>
      <c r="O269" s="352"/>
      <c r="P269" s="352"/>
      <c r="Q269" s="332" t="s">
        <v>82</v>
      </c>
      <c r="R269" s="332" t="s">
        <v>716</v>
      </c>
      <c r="S269" s="332">
        <f t="shared" si="138"/>
        <v>29</v>
      </c>
      <c r="T269" s="332"/>
      <c r="U269" s="332">
        <v>0</v>
      </c>
      <c r="V269" s="332">
        <v>29</v>
      </c>
      <c r="W269" s="332"/>
      <c r="X269" s="332"/>
      <c r="Y269" s="332"/>
      <c r="Z269" s="332"/>
      <c r="AA269" s="332"/>
      <c r="AB269" s="332"/>
      <c r="AC269" s="332"/>
      <c r="AD269" s="332"/>
      <c r="AE269" s="332"/>
      <c r="AF269" s="332"/>
      <c r="AG269" s="332" t="s">
        <v>85</v>
      </c>
      <c r="AH269" s="332" t="s">
        <v>86</v>
      </c>
      <c r="AI269" s="332"/>
      <c r="AJ269" s="354"/>
      <c r="AK269" s="354"/>
      <c r="AL269" s="332"/>
      <c r="AM269" s="332"/>
      <c r="AN269" s="332"/>
      <c r="AO269" s="340"/>
      <c r="AP269" s="340"/>
      <c r="AQ269" s="474"/>
      <c r="AR269" s="135">
        <f>COUNTIF(B:B,B269)</f>
        <v>1</v>
      </c>
      <c r="AS269" s="135" t="str">
        <f t="shared" si="127"/>
        <v>2021_04_20_a</v>
      </c>
      <c r="AT269" s="136"/>
      <c r="AU269" s="135" t="str">
        <f t="shared" si="128"/>
        <v>2021</v>
      </c>
      <c r="AV269" s="135" t="str">
        <f t="shared" si="129"/>
        <v>04</v>
      </c>
      <c r="AW269" s="135" t="str">
        <f t="shared" si="130"/>
        <v>20</v>
      </c>
      <c r="AX269" s="135">
        <f t="shared" si="131"/>
        <v>44306</v>
      </c>
      <c r="AY269" s="137"/>
      <c r="AZ269" s="138">
        <f t="shared" si="132"/>
        <v>44306</v>
      </c>
      <c r="BA269" s="135" t="b">
        <f t="shared" si="133"/>
        <v>1</v>
      </c>
      <c r="BB269" s="135">
        <f t="shared" si="134"/>
        <v>44306</v>
      </c>
      <c r="BC269" s="135" t="str">
        <f t="shared" si="135"/>
        <v>no</v>
      </c>
      <c r="BD269" s="135" t="b">
        <f t="shared" si="136"/>
        <v>0</v>
      </c>
      <c r="BE269" s="139" t="s">
        <v>59</v>
      </c>
      <c r="BF269" s="350"/>
    </row>
    <row r="270" spans="1:58" s="331" customFormat="1" ht="154">
      <c r="A270" s="338" t="s">
        <v>794</v>
      </c>
      <c r="B270" s="336" t="s">
        <v>811</v>
      </c>
      <c r="C270" s="338"/>
      <c r="D270" s="338">
        <v>10100928</v>
      </c>
      <c r="E270" s="338"/>
      <c r="F270" s="356" t="s">
        <v>713</v>
      </c>
      <c r="G270" s="357" t="s">
        <v>809</v>
      </c>
      <c r="H270" s="358">
        <v>44298</v>
      </c>
      <c r="I270" s="352"/>
      <c r="J270" s="353">
        <f t="shared" si="140"/>
        <v>44312</v>
      </c>
      <c r="K270" s="352"/>
      <c r="L270" s="352"/>
      <c r="M270" s="352"/>
      <c r="N270" s="352"/>
      <c r="O270" s="352"/>
      <c r="P270" s="352"/>
      <c r="Q270" s="332" t="s">
        <v>82</v>
      </c>
      <c r="R270" s="332" t="s">
        <v>731</v>
      </c>
      <c r="S270" s="332">
        <f t="shared" si="138"/>
        <v>33</v>
      </c>
      <c r="T270" s="332"/>
      <c r="U270" s="332">
        <v>0</v>
      </c>
      <c r="V270" s="332">
        <v>33</v>
      </c>
      <c r="W270" s="332" t="s">
        <v>717</v>
      </c>
      <c r="X270" s="332"/>
      <c r="Y270" s="332"/>
      <c r="Z270" s="332" t="s">
        <v>52</v>
      </c>
      <c r="AA270" s="332" t="s">
        <v>53</v>
      </c>
      <c r="AB270" s="332" t="s">
        <v>53</v>
      </c>
      <c r="AC270" s="332" t="s">
        <v>48</v>
      </c>
      <c r="AD270" s="332" t="s">
        <v>766</v>
      </c>
      <c r="AE270" s="332" t="s">
        <v>766</v>
      </c>
      <c r="AF270" s="332" t="s">
        <v>766</v>
      </c>
      <c r="AG270" s="332" t="s">
        <v>85</v>
      </c>
      <c r="AH270" s="332" t="s">
        <v>86</v>
      </c>
      <c r="AI270" s="332" t="s">
        <v>48</v>
      </c>
      <c r="AJ270" s="354"/>
      <c r="AK270" s="354"/>
      <c r="AL270" s="332" t="s">
        <v>761</v>
      </c>
      <c r="AM270" s="332"/>
      <c r="AN270" s="332"/>
      <c r="AO270" s="340"/>
      <c r="AP270" s="340"/>
      <c r="AQ270" s="474"/>
      <c r="AR270" s="135">
        <f>COUNTIF(B:B,B270)</f>
        <v>1</v>
      </c>
      <c r="AS270" s="135" t="str">
        <f t="shared" si="127"/>
        <v>2021_04_12_a</v>
      </c>
      <c r="AT270" s="136"/>
      <c r="AU270" s="135" t="str">
        <f t="shared" si="128"/>
        <v>2021</v>
      </c>
      <c r="AV270" s="135" t="str">
        <f t="shared" si="129"/>
        <v>04</v>
      </c>
      <c r="AW270" s="135" t="str">
        <f t="shared" si="130"/>
        <v>12</v>
      </c>
      <c r="AX270" s="135">
        <f t="shared" si="131"/>
        <v>44298</v>
      </c>
      <c r="AY270" s="137"/>
      <c r="AZ270" s="138">
        <f t="shared" si="132"/>
        <v>44298</v>
      </c>
      <c r="BA270" s="135" t="b">
        <f t="shared" si="133"/>
        <v>1</v>
      </c>
      <c r="BB270" s="135">
        <f t="shared" si="134"/>
        <v>44298</v>
      </c>
      <c r="BC270" s="135" t="str">
        <f t="shared" si="135"/>
        <v>no</v>
      </c>
      <c r="BD270" s="135" t="b">
        <f t="shared" si="136"/>
        <v>0</v>
      </c>
      <c r="BE270" s="139" t="s">
        <v>59</v>
      </c>
      <c r="BF270" s="350"/>
    </row>
    <row r="271" spans="1:58" s="331" customFormat="1" ht="154">
      <c r="A271" s="338"/>
      <c r="B271" s="336" t="s">
        <v>812</v>
      </c>
      <c r="C271" s="338"/>
      <c r="D271" s="338">
        <v>10100176</v>
      </c>
      <c r="E271" s="338"/>
      <c r="F271" s="356" t="s">
        <v>713</v>
      </c>
      <c r="G271" s="357" t="s">
        <v>813</v>
      </c>
      <c r="H271" s="358">
        <v>44326</v>
      </c>
      <c r="I271" s="352"/>
      <c r="J271" s="353">
        <f t="shared" si="140"/>
        <v>44340</v>
      </c>
      <c r="K271" s="352"/>
      <c r="L271" s="352"/>
      <c r="M271" s="352"/>
      <c r="N271" s="352"/>
      <c r="O271" s="352"/>
      <c r="P271" s="352"/>
      <c r="Q271" s="332" t="s">
        <v>82</v>
      </c>
      <c r="R271" s="332" t="s">
        <v>725</v>
      </c>
      <c r="S271" s="332">
        <f t="shared" si="138"/>
        <v>22</v>
      </c>
      <c r="T271" s="332"/>
      <c r="U271" s="332">
        <v>0</v>
      </c>
      <c r="V271" s="332">
        <v>22</v>
      </c>
      <c r="W271" s="332"/>
      <c r="X271" s="332"/>
      <c r="Y271" s="332"/>
      <c r="Z271" s="332"/>
      <c r="AA271" s="332"/>
      <c r="AB271" s="332"/>
      <c r="AC271" s="332"/>
      <c r="AD271" s="332"/>
      <c r="AE271" s="332"/>
      <c r="AF271" s="332"/>
      <c r="AG271" s="332" t="s">
        <v>85</v>
      </c>
      <c r="AH271" s="332" t="s">
        <v>86</v>
      </c>
      <c r="AI271" s="332"/>
      <c r="AJ271" s="354"/>
      <c r="AK271" s="354"/>
      <c r="AL271" s="332"/>
      <c r="AM271" s="332"/>
      <c r="AN271" s="332"/>
      <c r="AO271" s="340"/>
      <c r="AP271" s="340"/>
      <c r="AQ271" s="474"/>
      <c r="AR271" s="135">
        <f>COUNTIF(B:B,B271)</f>
        <v>1</v>
      </c>
      <c r="AS271" s="135" t="str">
        <f t="shared" si="127"/>
        <v>2021_05_10_a</v>
      </c>
      <c r="AT271" s="136"/>
      <c r="AU271" s="135" t="str">
        <f t="shared" si="128"/>
        <v>2021</v>
      </c>
      <c r="AV271" s="135" t="str">
        <f t="shared" si="129"/>
        <v>05</v>
      </c>
      <c r="AW271" s="135" t="str">
        <f t="shared" si="130"/>
        <v>10</v>
      </c>
      <c r="AX271" s="135">
        <f t="shared" si="131"/>
        <v>44326</v>
      </c>
      <c r="AY271" s="137"/>
      <c r="AZ271" s="138">
        <f t="shared" si="132"/>
        <v>44326</v>
      </c>
      <c r="BA271" s="135" t="b">
        <f t="shared" si="133"/>
        <v>1</v>
      </c>
      <c r="BB271" s="135">
        <f t="shared" si="134"/>
        <v>44326</v>
      </c>
      <c r="BC271" s="135" t="str">
        <f t="shared" si="135"/>
        <v>no</v>
      </c>
      <c r="BD271" s="135" t="b">
        <f t="shared" si="136"/>
        <v>0</v>
      </c>
      <c r="BE271" s="139" t="s">
        <v>59</v>
      </c>
      <c r="BF271" s="350"/>
    </row>
    <row r="272" spans="1:58" s="331" customFormat="1" ht="154">
      <c r="A272" s="338"/>
      <c r="B272" s="336" t="s">
        <v>814</v>
      </c>
      <c r="C272" s="338"/>
      <c r="D272" s="338">
        <v>10102216</v>
      </c>
      <c r="E272" s="338"/>
      <c r="F272" s="356" t="s">
        <v>713</v>
      </c>
      <c r="G272" s="357" t="s">
        <v>813</v>
      </c>
      <c r="H272" s="358">
        <v>44335</v>
      </c>
      <c r="I272" s="352"/>
      <c r="J272" s="353">
        <f t="shared" si="140"/>
        <v>44349</v>
      </c>
      <c r="K272" s="352"/>
      <c r="L272" s="352"/>
      <c r="M272" s="352"/>
      <c r="N272" s="352"/>
      <c r="O272" s="352"/>
      <c r="P272" s="352"/>
      <c r="Q272" s="332" t="s">
        <v>82</v>
      </c>
      <c r="R272" s="332" t="s">
        <v>731</v>
      </c>
      <c r="S272" s="332">
        <f t="shared" si="138"/>
        <v>20</v>
      </c>
      <c r="T272" s="332"/>
      <c r="U272" s="332">
        <v>0</v>
      </c>
      <c r="V272" s="332">
        <v>20</v>
      </c>
      <c r="W272" s="332"/>
      <c r="X272" s="332"/>
      <c r="Y272" s="332"/>
      <c r="Z272" s="332"/>
      <c r="AA272" s="332"/>
      <c r="AB272" s="332"/>
      <c r="AC272" s="332"/>
      <c r="AD272" s="332"/>
      <c r="AE272" s="332"/>
      <c r="AF272" s="332"/>
      <c r="AG272" s="332" t="s">
        <v>85</v>
      </c>
      <c r="AH272" s="332" t="s">
        <v>86</v>
      </c>
      <c r="AI272" s="332"/>
      <c r="AJ272" s="354"/>
      <c r="AK272" s="354"/>
      <c r="AL272" s="332"/>
      <c r="AM272" s="332"/>
      <c r="AN272" s="332"/>
      <c r="AO272" s="340"/>
      <c r="AP272" s="340"/>
      <c r="AQ272" s="474"/>
      <c r="AR272" s="135">
        <f>COUNTIF(B:B,B272)</f>
        <v>1</v>
      </c>
      <c r="AS272" s="135" t="str">
        <f t="shared" si="127"/>
        <v>2021_05_19_a</v>
      </c>
      <c r="AT272" s="136"/>
      <c r="AU272" s="135" t="str">
        <f t="shared" si="128"/>
        <v>2021</v>
      </c>
      <c r="AV272" s="135" t="str">
        <f t="shared" si="129"/>
        <v>05</v>
      </c>
      <c r="AW272" s="135" t="str">
        <f t="shared" si="130"/>
        <v>19</v>
      </c>
      <c r="AX272" s="135">
        <f t="shared" si="131"/>
        <v>44335</v>
      </c>
      <c r="AY272" s="137"/>
      <c r="AZ272" s="138">
        <f t="shared" si="132"/>
        <v>44335</v>
      </c>
      <c r="BA272" s="135" t="b">
        <f t="shared" si="133"/>
        <v>1</v>
      </c>
      <c r="BB272" s="135">
        <f t="shared" si="134"/>
        <v>44335</v>
      </c>
      <c r="BC272" s="135" t="str">
        <f t="shared" si="135"/>
        <v>no</v>
      </c>
      <c r="BD272" s="135" t="b">
        <f t="shared" si="136"/>
        <v>0</v>
      </c>
      <c r="BE272" s="139" t="s">
        <v>59</v>
      </c>
      <c r="BF272" s="350"/>
    </row>
    <row r="273" spans="1:58" s="331" customFormat="1" ht="154">
      <c r="A273" s="338"/>
      <c r="B273" s="336" t="s">
        <v>815</v>
      </c>
      <c r="C273" s="338"/>
      <c r="D273" s="338">
        <v>10101988</v>
      </c>
      <c r="E273" s="338"/>
      <c r="F273" s="356" t="s">
        <v>713</v>
      </c>
      <c r="G273" s="357" t="s">
        <v>813</v>
      </c>
      <c r="H273" s="358">
        <v>44334</v>
      </c>
      <c r="I273" s="352"/>
      <c r="J273" s="353">
        <f t="shared" si="140"/>
        <v>44348</v>
      </c>
      <c r="K273" s="352"/>
      <c r="L273" s="352"/>
      <c r="M273" s="352"/>
      <c r="N273" s="352"/>
      <c r="O273" s="352"/>
      <c r="P273" s="352"/>
      <c r="Q273" s="332" t="s">
        <v>82</v>
      </c>
      <c r="R273" s="332" t="s">
        <v>716</v>
      </c>
      <c r="S273" s="332">
        <f t="shared" si="138"/>
        <v>60</v>
      </c>
      <c r="T273" s="332"/>
      <c r="U273" s="332">
        <v>0</v>
      </c>
      <c r="V273" s="332">
        <v>60</v>
      </c>
      <c r="W273" s="332"/>
      <c r="X273" s="332"/>
      <c r="Y273" s="332"/>
      <c r="Z273" s="332"/>
      <c r="AA273" s="332"/>
      <c r="AB273" s="332"/>
      <c r="AC273" s="332"/>
      <c r="AD273" s="332"/>
      <c r="AE273" s="332"/>
      <c r="AF273" s="332"/>
      <c r="AG273" s="332" t="s">
        <v>85</v>
      </c>
      <c r="AH273" s="332" t="s">
        <v>86</v>
      </c>
      <c r="AI273" s="332"/>
      <c r="AJ273" s="354"/>
      <c r="AK273" s="354"/>
      <c r="AL273" s="332"/>
      <c r="AM273" s="332"/>
      <c r="AN273" s="332"/>
      <c r="AO273" s="340"/>
      <c r="AP273" s="340"/>
      <c r="AQ273" s="474"/>
      <c r="AR273" s="135">
        <f>COUNTIF(B:B,B273)</f>
        <v>1</v>
      </c>
      <c r="AS273" s="135" t="str">
        <f t="shared" si="127"/>
        <v>2021_05_18_a</v>
      </c>
      <c r="AT273" s="136"/>
      <c r="AU273" s="135" t="str">
        <f t="shared" si="128"/>
        <v>2021</v>
      </c>
      <c r="AV273" s="135" t="str">
        <f t="shared" si="129"/>
        <v>05</v>
      </c>
      <c r="AW273" s="135" t="str">
        <f t="shared" si="130"/>
        <v>18</v>
      </c>
      <c r="AX273" s="135">
        <f t="shared" si="131"/>
        <v>44334</v>
      </c>
      <c r="AY273" s="137"/>
      <c r="AZ273" s="138">
        <f t="shared" si="132"/>
        <v>44334</v>
      </c>
      <c r="BA273" s="135" t="b">
        <f t="shared" si="133"/>
        <v>1</v>
      </c>
      <c r="BB273" s="135">
        <f t="shared" si="134"/>
        <v>44334</v>
      </c>
      <c r="BC273" s="135" t="str">
        <f t="shared" si="135"/>
        <v>no</v>
      </c>
      <c r="BD273" s="135" t="b">
        <f t="shared" si="136"/>
        <v>0</v>
      </c>
      <c r="BE273" s="139" t="s">
        <v>59</v>
      </c>
      <c r="BF273" s="350"/>
    </row>
    <row r="274" spans="1:58" s="331" customFormat="1" ht="154">
      <c r="A274" s="338"/>
      <c r="B274" s="336" t="s">
        <v>816</v>
      </c>
      <c r="C274" s="338"/>
      <c r="D274" s="338">
        <v>10100177</v>
      </c>
      <c r="E274" s="338"/>
      <c r="F274" s="356" t="s">
        <v>713</v>
      </c>
      <c r="G274" s="357" t="s">
        <v>817</v>
      </c>
      <c r="H274" s="358">
        <v>44350</v>
      </c>
      <c r="I274" s="352"/>
      <c r="J274" s="353">
        <f t="shared" si="140"/>
        <v>44364</v>
      </c>
      <c r="K274" s="352"/>
      <c r="L274" s="352"/>
      <c r="M274" s="352"/>
      <c r="N274" s="352"/>
      <c r="O274" s="352"/>
      <c r="P274" s="352"/>
      <c r="Q274" s="332" t="s">
        <v>82</v>
      </c>
      <c r="R274" s="332" t="s">
        <v>725</v>
      </c>
      <c r="S274" s="332">
        <f t="shared" si="138"/>
        <v>9</v>
      </c>
      <c r="T274" s="332"/>
      <c r="U274" s="332">
        <v>0</v>
      </c>
      <c r="V274" s="332">
        <v>9</v>
      </c>
      <c r="W274" s="332"/>
      <c r="X274" s="332"/>
      <c r="Y274" s="332"/>
      <c r="Z274" s="332"/>
      <c r="AA274" s="332"/>
      <c r="AB274" s="332"/>
      <c r="AC274" s="332"/>
      <c r="AD274" s="332"/>
      <c r="AE274" s="332"/>
      <c r="AF274" s="332"/>
      <c r="AG274" s="332" t="s">
        <v>85</v>
      </c>
      <c r="AH274" s="332" t="s">
        <v>86</v>
      </c>
      <c r="AI274" s="332"/>
      <c r="AJ274" s="354"/>
      <c r="AK274" s="354"/>
      <c r="AL274" s="332"/>
      <c r="AM274" s="332"/>
      <c r="AN274" s="332"/>
      <c r="AO274" s="340"/>
      <c r="AP274" s="340"/>
      <c r="AQ274" s="474"/>
      <c r="AR274" s="135">
        <f>COUNTIF(B:B,B274)</f>
        <v>1</v>
      </c>
      <c r="AS274" s="135" t="str">
        <f t="shared" si="127"/>
        <v>2021_06_03_a</v>
      </c>
      <c r="AT274" s="136"/>
      <c r="AU274" s="135" t="str">
        <f t="shared" si="128"/>
        <v>2021</v>
      </c>
      <c r="AV274" s="135" t="str">
        <f t="shared" si="129"/>
        <v>06</v>
      </c>
      <c r="AW274" s="135" t="str">
        <f t="shared" si="130"/>
        <v>03</v>
      </c>
      <c r="AX274" s="135">
        <f t="shared" si="131"/>
        <v>44350</v>
      </c>
      <c r="AY274" s="137"/>
      <c r="AZ274" s="138">
        <f t="shared" si="132"/>
        <v>44350</v>
      </c>
      <c r="BA274" s="135" t="b">
        <f t="shared" si="133"/>
        <v>1</v>
      </c>
      <c r="BB274" s="135">
        <f t="shared" si="134"/>
        <v>44350</v>
      </c>
      <c r="BC274" s="135" t="str">
        <f t="shared" si="135"/>
        <v>no</v>
      </c>
      <c r="BD274" s="135" t="b">
        <f t="shared" si="136"/>
        <v>0</v>
      </c>
      <c r="BE274" s="139" t="s">
        <v>59</v>
      </c>
      <c r="BF274" s="350"/>
    </row>
    <row r="275" spans="1:58" s="331" customFormat="1" ht="154">
      <c r="A275" s="338"/>
      <c r="B275" s="336" t="s">
        <v>818</v>
      </c>
      <c r="C275" s="338"/>
      <c r="D275" s="338">
        <v>10101989</v>
      </c>
      <c r="E275" s="338"/>
      <c r="F275" s="356" t="s">
        <v>713</v>
      </c>
      <c r="G275" s="357" t="s">
        <v>817</v>
      </c>
      <c r="H275" s="358">
        <v>44362</v>
      </c>
      <c r="I275" s="352"/>
      <c r="J275" s="353">
        <f t="shared" si="140"/>
        <v>44376</v>
      </c>
      <c r="K275" s="352"/>
      <c r="L275" s="352"/>
      <c r="M275" s="352"/>
      <c r="N275" s="352"/>
      <c r="O275" s="352"/>
      <c r="P275" s="352"/>
      <c r="Q275" s="332" t="s">
        <v>82</v>
      </c>
      <c r="R275" s="332" t="s">
        <v>716</v>
      </c>
      <c r="S275" s="332">
        <f t="shared" si="138"/>
        <v>26</v>
      </c>
      <c r="T275" s="332"/>
      <c r="U275" s="332">
        <v>0</v>
      </c>
      <c r="V275" s="332">
        <v>26</v>
      </c>
      <c r="W275" s="332"/>
      <c r="X275" s="332"/>
      <c r="Y275" s="332"/>
      <c r="Z275" s="332"/>
      <c r="AA275" s="332"/>
      <c r="AB275" s="332"/>
      <c r="AC275" s="332"/>
      <c r="AD275" s="332"/>
      <c r="AE275" s="332"/>
      <c r="AF275" s="332"/>
      <c r="AG275" s="332" t="s">
        <v>85</v>
      </c>
      <c r="AH275" s="332" t="s">
        <v>86</v>
      </c>
      <c r="AI275" s="332"/>
      <c r="AJ275" s="354"/>
      <c r="AK275" s="354"/>
      <c r="AL275" s="332"/>
      <c r="AM275" s="332"/>
      <c r="AN275" s="332"/>
      <c r="AO275" s="340"/>
      <c r="AP275" s="340"/>
      <c r="AQ275" s="474"/>
      <c r="AR275" s="135">
        <f>COUNTIF(B:B,B275)</f>
        <v>1</v>
      </c>
      <c r="AS275" s="135" t="str">
        <f t="shared" ref="AS275:AS336" si="141">IFERROR(RIGHT(B275,16-SEARCH("_", B275)),0)</f>
        <v>2021_06_15_a</v>
      </c>
      <c r="AT275" s="136"/>
      <c r="AU275" s="135" t="str">
        <f t="shared" ref="AU275:AU336" si="142">LEFT(AS275,4)</f>
        <v>2021</v>
      </c>
      <c r="AV275" s="135" t="str">
        <f t="shared" ref="AV275:AV336" si="143">MID(AS275,6,2)</f>
        <v>06</v>
      </c>
      <c r="AW275" s="135" t="str">
        <f t="shared" ref="AW275:AW336" si="144">MID(AS275,9,2)</f>
        <v>15</v>
      </c>
      <c r="AX275" s="135">
        <f t="shared" ref="AX275:AX336" si="145">IFERROR(DATE(AU275,AV275,AW275)," ")</f>
        <v>44362</v>
      </c>
      <c r="AY275" s="137"/>
      <c r="AZ275" s="138">
        <f t="shared" ref="AZ275:AZ336" si="146">H275</f>
        <v>44362</v>
      </c>
      <c r="BA275" s="135" t="b">
        <f t="shared" ref="BA275:BA336" si="147">IF(AX275=" "," ",AX275=AZ275)</f>
        <v>1</v>
      </c>
      <c r="BB275" s="135">
        <f t="shared" ref="BB275:BB336" si="148">IF(BC275="YES"," ",AZ275)</f>
        <v>44362</v>
      </c>
      <c r="BC275" s="135" t="str">
        <f t="shared" ref="BC275:BC336" si="149">IF(AM275="Apprentice","yes","no")</f>
        <v>no</v>
      </c>
      <c r="BD275" s="135" t="b">
        <f t="shared" ref="BD275:BD336" si="150">IF(OR(U275&lt;&gt;"0", V275&lt;&gt;"0"),U275=V275," ")</f>
        <v>0</v>
      </c>
      <c r="BE275" s="139" t="s">
        <v>59</v>
      </c>
      <c r="BF275" s="350"/>
    </row>
    <row r="276" spans="1:58" s="331" customFormat="1" ht="154">
      <c r="A276" s="338"/>
      <c r="B276" s="336" t="s">
        <v>819</v>
      </c>
      <c r="C276" s="338"/>
      <c r="D276" s="338">
        <v>10103422</v>
      </c>
      <c r="E276" s="338"/>
      <c r="F276" s="356" t="s">
        <v>713</v>
      </c>
      <c r="G276" s="357" t="s">
        <v>817</v>
      </c>
      <c r="H276" s="358">
        <v>44376</v>
      </c>
      <c r="I276" s="352"/>
      <c r="J276" s="353">
        <f t="shared" si="140"/>
        <v>44390</v>
      </c>
      <c r="K276" s="352"/>
      <c r="L276" s="352"/>
      <c r="M276" s="352"/>
      <c r="N276" s="352"/>
      <c r="O276" s="352"/>
      <c r="P276" s="352"/>
      <c r="Q276" s="332" t="s">
        <v>82</v>
      </c>
      <c r="R276" s="332" t="s">
        <v>731</v>
      </c>
      <c r="S276" s="332">
        <f t="shared" si="138"/>
        <v>20</v>
      </c>
      <c r="T276" s="332"/>
      <c r="U276" s="332">
        <v>0</v>
      </c>
      <c r="V276" s="332">
        <v>20</v>
      </c>
      <c r="W276" s="332"/>
      <c r="X276" s="332"/>
      <c r="Y276" s="332"/>
      <c r="Z276" s="332"/>
      <c r="AA276" s="332"/>
      <c r="AB276" s="332"/>
      <c r="AC276" s="332"/>
      <c r="AD276" s="332"/>
      <c r="AE276" s="332"/>
      <c r="AF276" s="332"/>
      <c r="AG276" s="332" t="s">
        <v>85</v>
      </c>
      <c r="AH276" s="332" t="s">
        <v>86</v>
      </c>
      <c r="AI276" s="332"/>
      <c r="AJ276" s="354"/>
      <c r="AK276" s="354"/>
      <c r="AL276" s="332"/>
      <c r="AM276" s="332"/>
      <c r="AN276" s="332"/>
      <c r="AO276" s="340"/>
      <c r="AP276" s="340"/>
      <c r="AQ276" s="474"/>
      <c r="AR276" s="135">
        <f>COUNTIF(B:B,B276)</f>
        <v>1</v>
      </c>
      <c r="AS276" s="135" t="str">
        <f t="shared" si="141"/>
        <v>2021_06_29_a</v>
      </c>
      <c r="AT276" s="136"/>
      <c r="AU276" s="135" t="str">
        <f t="shared" si="142"/>
        <v>2021</v>
      </c>
      <c r="AV276" s="135" t="str">
        <f t="shared" si="143"/>
        <v>06</v>
      </c>
      <c r="AW276" s="135" t="str">
        <f t="shared" si="144"/>
        <v>29</v>
      </c>
      <c r="AX276" s="135">
        <f t="shared" si="145"/>
        <v>44376</v>
      </c>
      <c r="AY276" s="137"/>
      <c r="AZ276" s="138">
        <f t="shared" si="146"/>
        <v>44376</v>
      </c>
      <c r="BA276" s="135" t="b">
        <f t="shared" si="147"/>
        <v>1</v>
      </c>
      <c r="BB276" s="135">
        <f t="shared" si="148"/>
        <v>44376</v>
      </c>
      <c r="BC276" s="135" t="str">
        <f t="shared" si="149"/>
        <v>no</v>
      </c>
      <c r="BD276" s="135" t="b">
        <f t="shared" si="150"/>
        <v>0</v>
      </c>
      <c r="BE276" s="139" t="s">
        <v>59</v>
      </c>
      <c r="BF276" s="350"/>
    </row>
    <row r="277" spans="1:58" s="331" customFormat="1" ht="154">
      <c r="A277" s="338"/>
      <c r="B277" s="336" t="s">
        <v>820</v>
      </c>
      <c r="C277" s="338"/>
      <c r="D277" s="338">
        <v>10103793</v>
      </c>
      <c r="E277" s="338"/>
      <c r="F277" s="356" t="s">
        <v>713</v>
      </c>
      <c r="G277" s="357" t="s">
        <v>817</v>
      </c>
      <c r="H277" s="358">
        <v>44377</v>
      </c>
      <c r="I277" s="352"/>
      <c r="J277" s="353">
        <f t="shared" si="140"/>
        <v>44391</v>
      </c>
      <c r="K277" s="352"/>
      <c r="L277" s="352"/>
      <c r="M277" s="352"/>
      <c r="N277" s="352"/>
      <c r="O277" s="352"/>
      <c r="P277" s="352"/>
      <c r="Q277" s="332" t="s">
        <v>82</v>
      </c>
      <c r="R277" s="332" t="s">
        <v>725</v>
      </c>
      <c r="S277" s="332">
        <f t="shared" si="138"/>
        <v>38</v>
      </c>
      <c r="T277" s="332"/>
      <c r="U277" s="332">
        <v>0</v>
      </c>
      <c r="V277" s="332">
        <v>38</v>
      </c>
      <c r="W277" s="332"/>
      <c r="X277" s="332"/>
      <c r="Y277" s="332"/>
      <c r="Z277" s="332"/>
      <c r="AA277" s="332"/>
      <c r="AB277" s="332"/>
      <c r="AC277" s="332"/>
      <c r="AD277" s="332"/>
      <c r="AE277" s="332"/>
      <c r="AF277" s="332"/>
      <c r="AG277" s="332" t="s">
        <v>85</v>
      </c>
      <c r="AH277" s="332" t="s">
        <v>86</v>
      </c>
      <c r="AI277" s="332"/>
      <c r="AJ277" s="354"/>
      <c r="AK277" s="354"/>
      <c r="AL277" s="332"/>
      <c r="AM277" s="332"/>
      <c r="AN277" s="332"/>
      <c r="AO277" s="340"/>
      <c r="AP277" s="340"/>
      <c r="AQ277" s="474"/>
      <c r="AR277" s="135">
        <f>COUNTIF(B:B,B277)</f>
        <v>1</v>
      </c>
      <c r="AS277" s="135" t="str">
        <f t="shared" si="141"/>
        <v>2021_06_30_a</v>
      </c>
      <c r="AT277" s="136"/>
      <c r="AU277" s="135" t="str">
        <f t="shared" si="142"/>
        <v>2021</v>
      </c>
      <c r="AV277" s="135" t="str">
        <f t="shared" si="143"/>
        <v>06</v>
      </c>
      <c r="AW277" s="135" t="str">
        <f t="shared" si="144"/>
        <v>30</v>
      </c>
      <c r="AX277" s="135">
        <f t="shared" si="145"/>
        <v>44377</v>
      </c>
      <c r="AY277" s="137"/>
      <c r="AZ277" s="138">
        <f t="shared" si="146"/>
        <v>44377</v>
      </c>
      <c r="BA277" s="135" t="b">
        <f t="shared" si="147"/>
        <v>1</v>
      </c>
      <c r="BB277" s="135">
        <f t="shared" si="148"/>
        <v>44377</v>
      </c>
      <c r="BC277" s="135" t="str">
        <f t="shared" si="149"/>
        <v>no</v>
      </c>
      <c r="BD277" s="135" t="b">
        <f t="shared" si="150"/>
        <v>0</v>
      </c>
      <c r="BE277" s="139" t="s">
        <v>59</v>
      </c>
      <c r="BF277" s="350"/>
    </row>
    <row r="278" spans="1:58" s="331" customFormat="1" ht="154">
      <c r="A278" s="338"/>
      <c r="B278" s="336" t="s">
        <v>821</v>
      </c>
      <c r="C278" s="338"/>
      <c r="D278" s="338">
        <v>10102784</v>
      </c>
      <c r="E278" s="338"/>
      <c r="F278" s="356" t="s">
        <v>713</v>
      </c>
      <c r="G278" s="357" t="s">
        <v>822</v>
      </c>
      <c r="H278" s="358">
        <v>44397</v>
      </c>
      <c r="I278" s="352"/>
      <c r="J278" s="353">
        <f t="shared" si="140"/>
        <v>44411</v>
      </c>
      <c r="K278" s="352"/>
      <c r="L278" s="352"/>
      <c r="M278" s="352"/>
      <c r="N278" s="352"/>
      <c r="O278" s="352"/>
      <c r="P278" s="352"/>
      <c r="Q278" s="332" t="s">
        <v>93</v>
      </c>
      <c r="R278" s="332" t="s">
        <v>716</v>
      </c>
      <c r="S278" s="332">
        <f t="shared" si="138"/>
        <v>20</v>
      </c>
      <c r="T278" s="332"/>
      <c r="U278" s="332">
        <v>0</v>
      </c>
      <c r="V278" s="332">
        <v>20</v>
      </c>
      <c r="W278" s="332"/>
      <c r="X278" s="332"/>
      <c r="Y278" s="332"/>
      <c r="Z278" s="332"/>
      <c r="AA278" s="332"/>
      <c r="AB278" s="332"/>
      <c r="AC278" s="332"/>
      <c r="AD278" s="332"/>
      <c r="AE278" s="332"/>
      <c r="AF278" s="332"/>
      <c r="AG278" s="332" t="s">
        <v>85</v>
      </c>
      <c r="AH278" s="332" t="s">
        <v>86</v>
      </c>
      <c r="AI278" s="332"/>
      <c r="AJ278" s="354"/>
      <c r="AK278" s="354"/>
      <c r="AL278" s="332"/>
      <c r="AM278" s="332"/>
      <c r="AN278" s="332"/>
      <c r="AO278" s="340"/>
      <c r="AP278" s="340"/>
      <c r="AQ278" s="474"/>
      <c r="AR278" s="135">
        <f>COUNTIF(B:B,B278)</f>
        <v>1</v>
      </c>
      <c r="AS278" s="135" t="str">
        <f t="shared" si="141"/>
        <v>2021_07_20_a</v>
      </c>
      <c r="AT278" s="136"/>
      <c r="AU278" s="135" t="str">
        <f t="shared" si="142"/>
        <v>2021</v>
      </c>
      <c r="AV278" s="135" t="str">
        <f t="shared" si="143"/>
        <v>07</v>
      </c>
      <c r="AW278" s="135" t="str">
        <f t="shared" si="144"/>
        <v>20</v>
      </c>
      <c r="AX278" s="135">
        <f t="shared" si="145"/>
        <v>44397</v>
      </c>
      <c r="AY278" s="137"/>
      <c r="AZ278" s="138">
        <f t="shared" si="146"/>
        <v>44397</v>
      </c>
      <c r="BA278" s="135" t="b">
        <f t="shared" si="147"/>
        <v>1</v>
      </c>
      <c r="BB278" s="135">
        <f t="shared" si="148"/>
        <v>44397</v>
      </c>
      <c r="BC278" s="135" t="str">
        <f t="shared" si="149"/>
        <v>no</v>
      </c>
      <c r="BD278" s="135" t="b">
        <f t="shared" si="150"/>
        <v>0</v>
      </c>
      <c r="BE278" s="139" t="s">
        <v>59</v>
      </c>
      <c r="BF278" s="350"/>
    </row>
    <row r="279" spans="1:58" s="331" customFormat="1" ht="154">
      <c r="A279" s="338"/>
      <c r="B279" s="336" t="s">
        <v>823</v>
      </c>
      <c r="C279" s="338"/>
      <c r="D279" s="338">
        <v>10095540</v>
      </c>
      <c r="E279" s="338"/>
      <c r="F279" s="356" t="s">
        <v>713</v>
      </c>
      <c r="G279" s="357" t="s">
        <v>824</v>
      </c>
      <c r="H279" s="358">
        <v>44417</v>
      </c>
      <c r="I279" s="352"/>
      <c r="J279" s="353">
        <f t="shared" si="140"/>
        <v>44431</v>
      </c>
      <c r="K279" s="352"/>
      <c r="L279" s="352"/>
      <c r="M279" s="352"/>
      <c r="N279" s="352"/>
      <c r="O279" s="352"/>
      <c r="P279" s="352"/>
      <c r="Q279" s="332" t="s">
        <v>93</v>
      </c>
      <c r="R279" s="332" t="s">
        <v>731</v>
      </c>
      <c r="S279" s="332">
        <f t="shared" si="138"/>
        <v>27</v>
      </c>
      <c r="T279" s="332"/>
      <c r="U279" s="332">
        <v>0</v>
      </c>
      <c r="V279" s="332">
        <v>27</v>
      </c>
      <c r="W279" s="332"/>
      <c r="X279" s="332"/>
      <c r="Y279" s="332"/>
      <c r="Z279" s="332"/>
      <c r="AA279" s="332"/>
      <c r="AB279" s="332"/>
      <c r="AC279" s="332"/>
      <c r="AD279" s="332"/>
      <c r="AE279" s="332"/>
      <c r="AF279" s="332"/>
      <c r="AG279" s="332" t="s">
        <v>85</v>
      </c>
      <c r="AH279" s="332" t="s">
        <v>86</v>
      </c>
      <c r="AI279" s="332"/>
      <c r="AJ279" s="354"/>
      <c r="AK279" s="354"/>
      <c r="AL279" s="332"/>
      <c r="AM279" s="332"/>
      <c r="AN279" s="332"/>
      <c r="AO279" s="340"/>
      <c r="AP279" s="340"/>
      <c r="AQ279" s="474"/>
      <c r="AR279" s="135">
        <f>COUNTIF(B:B,B279)</f>
        <v>1</v>
      </c>
      <c r="AS279" s="135" t="str">
        <f t="shared" si="141"/>
        <v>2021_08_09_a</v>
      </c>
      <c r="AT279" s="136"/>
      <c r="AU279" s="135" t="str">
        <f t="shared" si="142"/>
        <v>2021</v>
      </c>
      <c r="AV279" s="135" t="str">
        <f t="shared" si="143"/>
        <v>08</v>
      </c>
      <c r="AW279" s="135" t="str">
        <f t="shared" si="144"/>
        <v>09</v>
      </c>
      <c r="AX279" s="135">
        <f t="shared" si="145"/>
        <v>44417</v>
      </c>
      <c r="AY279" s="137"/>
      <c r="AZ279" s="138">
        <f t="shared" si="146"/>
        <v>44417</v>
      </c>
      <c r="BA279" s="135" t="b">
        <f t="shared" si="147"/>
        <v>1</v>
      </c>
      <c r="BB279" s="135">
        <f t="shared" si="148"/>
        <v>44417</v>
      </c>
      <c r="BC279" s="135" t="str">
        <f t="shared" si="149"/>
        <v>no</v>
      </c>
      <c r="BD279" s="135" t="b">
        <f t="shared" si="150"/>
        <v>0</v>
      </c>
      <c r="BE279" s="139" t="s">
        <v>59</v>
      </c>
      <c r="BF279" s="350"/>
    </row>
    <row r="280" spans="1:58" s="331" customFormat="1" ht="154">
      <c r="A280" s="338"/>
      <c r="B280" s="338" t="s">
        <v>825</v>
      </c>
      <c r="C280" s="338"/>
      <c r="D280" s="338">
        <v>10103794</v>
      </c>
      <c r="E280" s="338"/>
      <c r="F280" s="356" t="s">
        <v>713</v>
      </c>
      <c r="G280" s="357" t="s">
        <v>822</v>
      </c>
      <c r="H280" s="358">
        <v>44406</v>
      </c>
      <c r="I280" s="352"/>
      <c r="J280" s="353">
        <f t="shared" si="140"/>
        <v>44420</v>
      </c>
      <c r="K280" s="352"/>
      <c r="L280" s="352"/>
      <c r="M280" s="352"/>
      <c r="N280" s="352"/>
      <c r="O280" s="352"/>
      <c r="P280" s="352"/>
      <c r="Q280" s="332" t="s">
        <v>93</v>
      </c>
      <c r="R280" s="332" t="s">
        <v>725</v>
      </c>
      <c r="S280" s="332">
        <f t="shared" si="138"/>
        <v>25</v>
      </c>
      <c r="T280" s="332"/>
      <c r="U280" s="332">
        <v>0</v>
      </c>
      <c r="V280" s="332">
        <v>25</v>
      </c>
      <c r="W280" s="332"/>
      <c r="X280" s="332"/>
      <c r="Y280" s="332"/>
      <c r="Z280" s="332"/>
      <c r="AA280" s="332"/>
      <c r="AB280" s="332"/>
      <c r="AC280" s="332"/>
      <c r="AD280" s="332"/>
      <c r="AE280" s="332"/>
      <c r="AF280" s="332"/>
      <c r="AG280" s="332" t="s">
        <v>85</v>
      </c>
      <c r="AH280" s="332" t="s">
        <v>86</v>
      </c>
      <c r="AI280" s="332"/>
      <c r="AJ280" s="354"/>
      <c r="AK280" s="354"/>
      <c r="AL280" s="332"/>
      <c r="AM280" s="332"/>
      <c r="AN280" s="332"/>
      <c r="AO280" s="340"/>
      <c r="AP280" s="340"/>
      <c r="AQ280" s="474"/>
      <c r="AR280" s="135">
        <f>COUNTIF(B:B,B280)</f>
        <v>1</v>
      </c>
      <c r="AS280" s="135" t="str">
        <f t="shared" si="141"/>
        <v>2021_07_29_a</v>
      </c>
      <c r="AT280" s="136"/>
      <c r="AU280" s="135" t="str">
        <f t="shared" si="142"/>
        <v>2021</v>
      </c>
      <c r="AV280" s="135" t="str">
        <f t="shared" si="143"/>
        <v>07</v>
      </c>
      <c r="AW280" s="135" t="str">
        <f t="shared" si="144"/>
        <v>29</v>
      </c>
      <c r="AX280" s="135">
        <f t="shared" si="145"/>
        <v>44406</v>
      </c>
      <c r="AY280" s="137"/>
      <c r="AZ280" s="138">
        <f t="shared" si="146"/>
        <v>44406</v>
      </c>
      <c r="BA280" s="135" t="b">
        <f t="shared" si="147"/>
        <v>1</v>
      </c>
      <c r="BB280" s="135">
        <f t="shared" si="148"/>
        <v>44406</v>
      </c>
      <c r="BC280" s="135" t="str">
        <f t="shared" si="149"/>
        <v>no</v>
      </c>
      <c r="BD280" s="135" t="b">
        <f t="shared" si="150"/>
        <v>0</v>
      </c>
      <c r="BE280" s="139" t="s">
        <v>59</v>
      </c>
      <c r="BF280" s="350"/>
    </row>
    <row r="281" spans="1:58" s="331" customFormat="1" ht="154">
      <c r="A281" s="338"/>
      <c r="B281" s="338" t="s">
        <v>826</v>
      </c>
      <c r="C281" s="338"/>
      <c r="D281" s="338">
        <v>10104488</v>
      </c>
      <c r="E281" s="338"/>
      <c r="F281" s="356" t="s">
        <v>713</v>
      </c>
      <c r="G281" s="357" t="s">
        <v>824</v>
      </c>
      <c r="H281" s="358">
        <v>44425</v>
      </c>
      <c r="I281" s="352"/>
      <c r="J281" s="353">
        <f t="shared" si="140"/>
        <v>44439</v>
      </c>
      <c r="K281" s="352"/>
      <c r="L281" s="352"/>
      <c r="M281" s="352"/>
      <c r="N281" s="352"/>
      <c r="O281" s="352"/>
      <c r="P281" s="352"/>
      <c r="Q281" s="332" t="s">
        <v>93</v>
      </c>
      <c r="R281" s="332" t="s">
        <v>716</v>
      </c>
      <c r="S281" s="332">
        <f t="shared" si="138"/>
        <v>14</v>
      </c>
      <c r="T281" s="332"/>
      <c r="U281" s="332">
        <v>0</v>
      </c>
      <c r="V281" s="332">
        <v>14</v>
      </c>
      <c r="W281" s="332"/>
      <c r="X281" s="332"/>
      <c r="Y281" s="332"/>
      <c r="Z281" s="332"/>
      <c r="AA281" s="332"/>
      <c r="AB281" s="332"/>
      <c r="AC281" s="332"/>
      <c r="AD281" s="332"/>
      <c r="AE281" s="332"/>
      <c r="AF281" s="332"/>
      <c r="AG281" s="332" t="s">
        <v>85</v>
      </c>
      <c r="AH281" s="332" t="s">
        <v>86</v>
      </c>
      <c r="AI281" s="332"/>
      <c r="AJ281" s="354"/>
      <c r="AK281" s="354"/>
      <c r="AL281" s="332"/>
      <c r="AM281" s="332"/>
      <c r="AN281" s="332"/>
      <c r="AO281" s="340"/>
      <c r="AP281" s="340"/>
      <c r="AQ281" s="474"/>
      <c r="AR281" s="135">
        <f>COUNTIF(B:B,B281)</f>
        <v>1</v>
      </c>
      <c r="AS281" s="135" t="str">
        <f t="shared" si="141"/>
        <v>2021_08_17_a</v>
      </c>
      <c r="AT281" s="136"/>
      <c r="AU281" s="135" t="str">
        <f t="shared" si="142"/>
        <v>2021</v>
      </c>
      <c r="AV281" s="135" t="str">
        <f t="shared" si="143"/>
        <v>08</v>
      </c>
      <c r="AW281" s="135" t="str">
        <f t="shared" si="144"/>
        <v>17</v>
      </c>
      <c r="AX281" s="135">
        <f t="shared" si="145"/>
        <v>44425</v>
      </c>
      <c r="AY281" s="137"/>
      <c r="AZ281" s="138">
        <f t="shared" si="146"/>
        <v>44425</v>
      </c>
      <c r="BA281" s="135" t="b">
        <f t="shared" si="147"/>
        <v>1</v>
      </c>
      <c r="BB281" s="135">
        <f t="shared" si="148"/>
        <v>44425</v>
      </c>
      <c r="BC281" s="135" t="str">
        <f t="shared" si="149"/>
        <v>no</v>
      </c>
      <c r="BD281" s="135" t="b">
        <f t="shared" si="150"/>
        <v>0</v>
      </c>
      <c r="BE281" s="139" t="s">
        <v>59</v>
      </c>
      <c r="BF281" s="350"/>
    </row>
    <row r="282" spans="1:58" s="331" customFormat="1" ht="154">
      <c r="A282" s="338"/>
      <c r="B282" s="338" t="s">
        <v>827</v>
      </c>
      <c r="C282" s="338"/>
      <c r="D282" s="338" t="s">
        <v>828</v>
      </c>
      <c r="E282" s="338"/>
      <c r="F282" s="356" t="s">
        <v>713</v>
      </c>
      <c r="G282" s="357" t="s">
        <v>829</v>
      </c>
      <c r="H282" s="358">
        <v>44441</v>
      </c>
      <c r="I282" s="352"/>
      <c r="J282" s="353">
        <f t="shared" si="140"/>
        <v>44455</v>
      </c>
      <c r="K282" s="352"/>
      <c r="L282" s="352"/>
      <c r="M282" s="352"/>
      <c r="N282" s="352"/>
      <c r="O282" s="352"/>
      <c r="P282" s="352"/>
      <c r="Q282" s="332" t="s">
        <v>93</v>
      </c>
      <c r="R282" s="332" t="s">
        <v>725</v>
      </c>
      <c r="S282" s="332">
        <f t="shared" si="138"/>
        <v>25</v>
      </c>
      <c r="T282" s="332"/>
      <c r="U282" s="332">
        <v>0</v>
      </c>
      <c r="V282" s="332">
        <v>25</v>
      </c>
      <c r="W282" s="332"/>
      <c r="X282" s="332"/>
      <c r="Y282" s="332"/>
      <c r="Z282" s="332"/>
      <c r="AA282" s="332"/>
      <c r="AB282" s="332"/>
      <c r="AC282" s="332"/>
      <c r="AD282" s="332"/>
      <c r="AE282" s="332"/>
      <c r="AF282" s="332"/>
      <c r="AG282" s="332" t="s">
        <v>85</v>
      </c>
      <c r="AH282" s="332" t="s">
        <v>86</v>
      </c>
      <c r="AI282" s="332"/>
      <c r="AJ282" s="354"/>
      <c r="AK282" s="354"/>
      <c r="AL282" s="332"/>
      <c r="AM282" s="332"/>
      <c r="AN282" s="332"/>
      <c r="AO282" s="340"/>
      <c r="AP282" s="340"/>
      <c r="AQ282" s="474"/>
      <c r="AR282" s="135">
        <f>COUNTIF(B:B,B282)</f>
        <v>1</v>
      </c>
      <c r="AS282" s="135" t="str">
        <f t="shared" si="141"/>
        <v>2021_09_02_a</v>
      </c>
      <c r="AT282" s="136"/>
      <c r="AU282" s="135" t="str">
        <f t="shared" si="142"/>
        <v>2021</v>
      </c>
      <c r="AV282" s="135" t="str">
        <f t="shared" si="143"/>
        <v>09</v>
      </c>
      <c r="AW282" s="135" t="str">
        <f t="shared" si="144"/>
        <v>02</v>
      </c>
      <c r="AX282" s="135">
        <f t="shared" si="145"/>
        <v>44441</v>
      </c>
      <c r="AY282" s="137"/>
      <c r="AZ282" s="138">
        <f t="shared" si="146"/>
        <v>44441</v>
      </c>
      <c r="BA282" s="135" t="b">
        <f t="shared" si="147"/>
        <v>1</v>
      </c>
      <c r="BB282" s="135">
        <f t="shared" si="148"/>
        <v>44441</v>
      </c>
      <c r="BC282" s="135" t="str">
        <f t="shared" si="149"/>
        <v>no</v>
      </c>
      <c r="BD282" s="135" t="b">
        <f t="shared" si="150"/>
        <v>0</v>
      </c>
      <c r="BE282" s="139" t="s">
        <v>59</v>
      </c>
      <c r="BF282" s="350"/>
    </row>
    <row r="283" spans="1:58" s="331" customFormat="1" ht="154">
      <c r="A283" s="338"/>
      <c r="B283" s="338" t="s">
        <v>830</v>
      </c>
      <c r="C283" s="338"/>
      <c r="D283" s="338">
        <v>10105472</v>
      </c>
      <c r="E283" s="338"/>
      <c r="F283" s="356" t="s">
        <v>713</v>
      </c>
      <c r="G283" s="357" t="s">
        <v>829</v>
      </c>
      <c r="H283" s="358">
        <v>44459</v>
      </c>
      <c r="I283" s="352"/>
      <c r="J283" s="353">
        <f t="shared" si="140"/>
        <v>44473</v>
      </c>
      <c r="K283" s="352"/>
      <c r="L283" s="352"/>
      <c r="M283" s="352"/>
      <c r="N283" s="352"/>
      <c r="O283" s="352"/>
      <c r="P283" s="352"/>
      <c r="Q283" s="332" t="s">
        <v>93</v>
      </c>
      <c r="R283" s="332" t="s">
        <v>716</v>
      </c>
      <c r="S283" s="332">
        <f t="shared" si="138"/>
        <v>15</v>
      </c>
      <c r="T283" s="332"/>
      <c r="U283" s="332">
        <v>0</v>
      </c>
      <c r="V283" s="332">
        <v>15</v>
      </c>
      <c r="W283" s="332"/>
      <c r="X283" s="332"/>
      <c r="Y283" s="332"/>
      <c r="Z283" s="332"/>
      <c r="AA283" s="332"/>
      <c r="AB283" s="332"/>
      <c r="AC283" s="332"/>
      <c r="AD283" s="332"/>
      <c r="AE283" s="332"/>
      <c r="AF283" s="332"/>
      <c r="AG283" s="332" t="s">
        <v>85</v>
      </c>
      <c r="AH283" s="332" t="s">
        <v>86</v>
      </c>
      <c r="AI283" s="332"/>
      <c r="AJ283" s="354"/>
      <c r="AK283" s="354"/>
      <c r="AL283" s="332"/>
      <c r="AM283" s="332"/>
      <c r="AN283" s="332"/>
      <c r="AO283" s="340"/>
      <c r="AP283" s="340"/>
      <c r="AQ283" s="474"/>
      <c r="AR283" s="135">
        <f>COUNTIF(B:B,B283)</f>
        <v>1</v>
      </c>
      <c r="AS283" s="135" t="str">
        <f t="shared" si="141"/>
        <v>2021_09_20_a</v>
      </c>
      <c r="AT283" s="136"/>
      <c r="AU283" s="135" t="str">
        <f t="shared" si="142"/>
        <v>2021</v>
      </c>
      <c r="AV283" s="135" t="str">
        <f t="shared" si="143"/>
        <v>09</v>
      </c>
      <c r="AW283" s="135" t="str">
        <f t="shared" si="144"/>
        <v>20</v>
      </c>
      <c r="AX283" s="135">
        <f t="shared" si="145"/>
        <v>44459</v>
      </c>
      <c r="AY283" s="137"/>
      <c r="AZ283" s="138">
        <f t="shared" si="146"/>
        <v>44459</v>
      </c>
      <c r="BA283" s="135" t="b">
        <f t="shared" si="147"/>
        <v>1</v>
      </c>
      <c r="BB283" s="135">
        <f t="shared" si="148"/>
        <v>44459</v>
      </c>
      <c r="BC283" s="135" t="str">
        <f t="shared" si="149"/>
        <v>no</v>
      </c>
      <c r="BD283" s="135" t="b">
        <f t="shared" si="150"/>
        <v>0</v>
      </c>
      <c r="BE283" s="139" t="s">
        <v>59</v>
      </c>
      <c r="BF283" s="350"/>
    </row>
    <row r="284" spans="1:58" s="331" customFormat="1" ht="154">
      <c r="A284" s="338"/>
      <c r="B284" s="338" t="s">
        <v>831</v>
      </c>
      <c r="C284" s="338"/>
      <c r="D284" s="338">
        <v>10225019</v>
      </c>
      <c r="E284" s="338"/>
      <c r="F284" s="356" t="s">
        <v>713</v>
      </c>
      <c r="G284" s="357" t="s">
        <v>832</v>
      </c>
      <c r="H284" s="358">
        <v>44487</v>
      </c>
      <c r="I284" s="352"/>
      <c r="J284" s="353">
        <f t="shared" si="140"/>
        <v>44501</v>
      </c>
      <c r="K284" s="352"/>
      <c r="L284" s="352"/>
      <c r="M284" s="352"/>
      <c r="N284" s="352"/>
      <c r="O284" s="352"/>
      <c r="P284" s="352"/>
      <c r="Q284" s="332" t="s">
        <v>106</v>
      </c>
      <c r="R284" s="332" t="s">
        <v>716</v>
      </c>
      <c r="S284" s="332">
        <f t="shared" si="138"/>
        <v>20</v>
      </c>
      <c r="T284" s="332"/>
      <c r="U284" s="332">
        <v>0</v>
      </c>
      <c r="V284" s="332">
        <v>20</v>
      </c>
      <c r="W284" s="332"/>
      <c r="X284" s="332"/>
      <c r="Y284" s="332"/>
      <c r="Z284" s="332"/>
      <c r="AA284" s="332"/>
      <c r="AB284" s="332"/>
      <c r="AC284" s="332"/>
      <c r="AD284" s="332"/>
      <c r="AE284" s="332"/>
      <c r="AF284" s="332"/>
      <c r="AG284" s="332" t="s">
        <v>85</v>
      </c>
      <c r="AH284" s="332" t="s">
        <v>86</v>
      </c>
      <c r="AI284" s="332"/>
      <c r="AJ284" s="354"/>
      <c r="AK284" s="354"/>
      <c r="AL284" s="332"/>
      <c r="AM284" s="332"/>
      <c r="AN284" s="332"/>
      <c r="AO284" s="340"/>
      <c r="AP284" s="340"/>
      <c r="AQ284" s="474"/>
      <c r="AR284" s="135">
        <f>COUNTIF(B:B,B284)</f>
        <v>1</v>
      </c>
      <c r="AS284" s="135" t="str">
        <f t="shared" si="141"/>
        <v>2021_10_18_a</v>
      </c>
      <c r="AT284" s="136"/>
      <c r="AU284" s="135" t="str">
        <f t="shared" si="142"/>
        <v>2021</v>
      </c>
      <c r="AV284" s="135" t="str">
        <f t="shared" si="143"/>
        <v>10</v>
      </c>
      <c r="AW284" s="135" t="str">
        <f t="shared" si="144"/>
        <v>18</v>
      </c>
      <c r="AX284" s="135">
        <f t="shared" si="145"/>
        <v>44487</v>
      </c>
      <c r="AY284" s="137"/>
      <c r="AZ284" s="138">
        <f t="shared" si="146"/>
        <v>44487</v>
      </c>
      <c r="BA284" s="135" t="b">
        <f t="shared" si="147"/>
        <v>1</v>
      </c>
      <c r="BB284" s="135">
        <f t="shared" si="148"/>
        <v>44487</v>
      </c>
      <c r="BC284" s="135" t="str">
        <f t="shared" si="149"/>
        <v>no</v>
      </c>
      <c r="BD284" s="135" t="b">
        <f t="shared" si="150"/>
        <v>0</v>
      </c>
      <c r="BE284" s="139" t="s">
        <v>59</v>
      </c>
      <c r="BF284" s="350"/>
    </row>
    <row r="285" spans="1:58" s="331" customFormat="1" ht="154">
      <c r="A285" s="338"/>
      <c r="B285" s="338" t="s">
        <v>833</v>
      </c>
      <c r="C285" s="338"/>
      <c r="D285" s="338">
        <v>10226218</v>
      </c>
      <c r="E285" s="338"/>
      <c r="F285" s="356" t="s">
        <v>713</v>
      </c>
      <c r="G285" s="357" t="s">
        <v>834</v>
      </c>
      <c r="H285" s="358">
        <v>44503</v>
      </c>
      <c r="I285" s="352"/>
      <c r="J285" s="353">
        <f t="shared" si="140"/>
        <v>44517</v>
      </c>
      <c r="K285" s="352"/>
      <c r="L285" s="352"/>
      <c r="M285" s="352"/>
      <c r="N285" s="352"/>
      <c r="O285" s="352"/>
      <c r="P285" s="352"/>
      <c r="Q285" s="332" t="s">
        <v>106</v>
      </c>
      <c r="R285" s="332" t="s">
        <v>725</v>
      </c>
      <c r="S285" s="332">
        <f t="shared" si="138"/>
        <v>25</v>
      </c>
      <c r="T285" s="332"/>
      <c r="U285" s="332">
        <v>0</v>
      </c>
      <c r="V285" s="332">
        <v>25</v>
      </c>
      <c r="W285" s="332"/>
      <c r="X285" s="332"/>
      <c r="Y285" s="332"/>
      <c r="Z285" s="332"/>
      <c r="AA285" s="332"/>
      <c r="AB285" s="332"/>
      <c r="AC285" s="332"/>
      <c r="AD285" s="332"/>
      <c r="AE285" s="332"/>
      <c r="AF285" s="332"/>
      <c r="AG285" s="332" t="s">
        <v>85</v>
      </c>
      <c r="AH285" s="332" t="s">
        <v>86</v>
      </c>
      <c r="AI285" s="332"/>
      <c r="AJ285" s="354"/>
      <c r="AK285" s="354"/>
      <c r="AL285" s="332"/>
      <c r="AM285" s="332"/>
      <c r="AN285" s="332"/>
      <c r="AO285" s="340"/>
      <c r="AP285" s="340"/>
      <c r="AQ285" s="474"/>
      <c r="AR285" s="135">
        <f>COUNTIF(B:B,B285)</f>
        <v>1</v>
      </c>
      <c r="AS285" s="135" t="str">
        <f t="shared" si="141"/>
        <v>2021_11_03_a</v>
      </c>
      <c r="AT285" s="136"/>
      <c r="AU285" s="135" t="str">
        <f t="shared" si="142"/>
        <v>2021</v>
      </c>
      <c r="AV285" s="135" t="str">
        <f t="shared" si="143"/>
        <v>11</v>
      </c>
      <c r="AW285" s="135" t="str">
        <f t="shared" si="144"/>
        <v>03</v>
      </c>
      <c r="AX285" s="135">
        <f t="shared" si="145"/>
        <v>44503</v>
      </c>
      <c r="AY285" s="137"/>
      <c r="AZ285" s="138">
        <f t="shared" si="146"/>
        <v>44503</v>
      </c>
      <c r="BA285" s="135" t="b">
        <f t="shared" si="147"/>
        <v>1</v>
      </c>
      <c r="BB285" s="135">
        <f t="shared" si="148"/>
        <v>44503</v>
      </c>
      <c r="BC285" s="135" t="str">
        <f t="shared" si="149"/>
        <v>no</v>
      </c>
      <c r="BD285" s="135" t="b">
        <f t="shared" si="150"/>
        <v>0</v>
      </c>
      <c r="BE285" s="139" t="s">
        <v>59</v>
      </c>
      <c r="BF285" s="350"/>
    </row>
    <row r="286" spans="1:58" s="331" customFormat="1" ht="154">
      <c r="A286" s="338"/>
      <c r="B286" s="338" t="s">
        <v>835</v>
      </c>
      <c r="C286" s="338"/>
      <c r="D286" s="338">
        <v>10227174</v>
      </c>
      <c r="E286" s="338"/>
      <c r="F286" s="356" t="s">
        <v>713</v>
      </c>
      <c r="G286" s="357" t="s">
        <v>796</v>
      </c>
      <c r="H286" s="358">
        <v>44537</v>
      </c>
      <c r="I286" s="352"/>
      <c r="J286" s="353">
        <f t="shared" si="140"/>
        <v>44551</v>
      </c>
      <c r="K286" s="352"/>
      <c r="L286" s="352"/>
      <c r="M286" s="352"/>
      <c r="N286" s="352"/>
      <c r="O286" s="352"/>
      <c r="P286" s="352"/>
      <c r="Q286" s="332" t="s">
        <v>106</v>
      </c>
      <c r="R286" s="332" t="s">
        <v>725</v>
      </c>
      <c r="S286" s="332">
        <f t="shared" si="138"/>
        <v>35</v>
      </c>
      <c r="T286" s="332"/>
      <c r="U286" s="332">
        <v>0</v>
      </c>
      <c r="V286" s="332">
        <v>35</v>
      </c>
      <c r="W286" s="332"/>
      <c r="X286" s="332"/>
      <c r="Y286" s="332"/>
      <c r="Z286" s="332"/>
      <c r="AA286" s="332"/>
      <c r="AB286" s="332"/>
      <c r="AC286" s="332"/>
      <c r="AD286" s="332"/>
      <c r="AE286" s="332"/>
      <c r="AF286" s="332"/>
      <c r="AG286" s="332" t="s">
        <v>85</v>
      </c>
      <c r="AH286" s="332" t="s">
        <v>86</v>
      </c>
      <c r="AI286" s="332"/>
      <c r="AJ286" s="354"/>
      <c r="AK286" s="354"/>
      <c r="AL286" s="332"/>
      <c r="AM286" s="332"/>
      <c r="AN286" s="332"/>
      <c r="AO286" s="340"/>
      <c r="AP286" s="340"/>
      <c r="AQ286" s="474"/>
      <c r="AR286" s="135">
        <f>COUNTIF(B:B,B286)</f>
        <v>1</v>
      </c>
      <c r="AS286" s="135" t="str">
        <f t="shared" si="141"/>
        <v>2021_12_07_a</v>
      </c>
      <c r="AT286" s="136"/>
      <c r="AU286" s="135" t="str">
        <f t="shared" si="142"/>
        <v>2021</v>
      </c>
      <c r="AV286" s="135" t="str">
        <f t="shared" si="143"/>
        <v>12</v>
      </c>
      <c r="AW286" s="135" t="str">
        <f t="shared" si="144"/>
        <v>07</v>
      </c>
      <c r="AX286" s="135">
        <f t="shared" si="145"/>
        <v>44537</v>
      </c>
      <c r="AY286" s="137"/>
      <c r="AZ286" s="138">
        <f t="shared" si="146"/>
        <v>44537</v>
      </c>
      <c r="BA286" s="135" t="b">
        <f t="shared" si="147"/>
        <v>1</v>
      </c>
      <c r="BB286" s="135">
        <f t="shared" si="148"/>
        <v>44537</v>
      </c>
      <c r="BC286" s="135" t="str">
        <f t="shared" si="149"/>
        <v>no</v>
      </c>
      <c r="BD286" s="135" t="b">
        <f t="shared" si="150"/>
        <v>0</v>
      </c>
      <c r="BE286" s="139" t="s">
        <v>59</v>
      </c>
      <c r="BF286" s="350"/>
    </row>
    <row r="287" spans="1:58" s="331" customFormat="1" ht="154">
      <c r="A287" s="338"/>
      <c r="B287" s="338" t="s">
        <v>836</v>
      </c>
      <c r="C287" s="338"/>
      <c r="D287" s="338"/>
      <c r="E287" s="338"/>
      <c r="F287" s="351" t="s">
        <v>713</v>
      </c>
      <c r="G287" s="352" t="s">
        <v>834</v>
      </c>
      <c r="H287" s="353">
        <v>44522</v>
      </c>
      <c r="I287" s="352"/>
      <c r="J287" s="353">
        <f>H287+14</f>
        <v>44536</v>
      </c>
      <c r="K287" s="352"/>
      <c r="L287" s="352"/>
      <c r="M287" s="352"/>
      <c r="N287" s="352"/>
      <c r="O287" s="352"/>
      <c r="P287" s="352"/>
      <c r="Q287" s="332" t="s">
        <v>106</v>
      </c>
      <c r="R287" s="332" t="s">
        <v>731</v>
      </c>
      <c r="S287" s="332">
        <f>U287+V287</f>
        <v>35</v>
      </c>
      <c r="T287" s="332"/>
      <c r="U287" s="332">
        <v>0</v>
      </c>
      <c r="V287" s="332">
        <v>35</v>
      </c>
      <c r="W287" s="332"/>
      <c r="X287" s="332"/>
      <c r="Y287" s="332"/>
      <c r="Z287" s="332"/>
      <c r="AA287" s="332"/>
      <c r="AB287" s="332"/>
      <c r="AC287" s="332"/>
      <c r="AD287" s="332"/>
      <c r="AE287" s="332"/>
      <c r="AF287" s="332"/>
      <c r="AG287" s="332" t="s">
        <v>85</v>
      </c>
      <c r="AH287" s="332" t="s">
        <v>86</v>
      </c>
      <c r="AI287" s="332"/>
      <c r="AJ287" s="354"/>
      <c r="AK287" s="354"/>
      <c r="AL287" s="332"/>
      <c r="AM287" s="332"/>
      <c r="AN287" s="332"/>
      <c r="AO287" s="340"/>
      <c r="AP287" s="340"/>
      <c r="AQ287" s="474"/>
      <c r="AR287" s="135">
        <f>COUNTIF(B:B,B287)</f>
        <v>1</v>
      </c>
      <c r="AS287" s="135" t="str">
        <f t="shared" si="141"/>
        <v>2021_11_22_a</v>
      </c>
      <c r="AT287" s="136"/>
      <c r="AU287" s="135" t="str">
        <f t="shared" si="142"/>
        <v>2021</v>
      </c>
      <c r="AV287" s="135" t="str">
        <f t="shared" si="143"/>
        <v>11</v>
      </c>
      <c r="AW287" s="135" t="str">
        <f t="shared" si="144"/>
        <v>22</v>
      </c>
      <c r="AX287" s="135">
        <f t="shared" si="145"/>
        <v>44522</v>
      </c>
      <c r="AY287" s="137"/>
      <c r="AZ287" s="138">
        <f t="shared" si="146"/>
        <v>44522</v>
      </c>
      <c r="BA287" s="135" t="b">
        <f t="shared" si="147"/>
        <v>1</v>
      </c>
      <c r="BB287" s="135">
        <f t="shared" si="148"/>
        <v>44522</v>
      </c>
      <c r="BC287" s="135" t="str">
        <f t="shared" si="149"/>
        <v>no</v>
      </c>
      <c r="BD287" s="135" t="b">
        <f t="shared" si="150"/>
        <v>0</v>
      </c>
      <c r="BE287" s="139" t="s">
        <v>59</v>
      </c>
      <c r="BF287" s="350"/>
    </row>
    <row r="288" spans="1:58" s="331" customFormat="1" ht="154">
      <c r="A288" s="338"/>
      <c r="B288" s="338" t="s">
        <v>837</v>
      </c>
      <c r="C288" s="338"/>
      <c r="D288" s="338">
        <v>10233446</v>
      </c>
      <c r="E288" s="338"/>
      <c r="F288" s="351" t="s">
        <v>713</v>
      </c>
      <c r="G288" s="352" t="s">
        <v>834</v>
      </c>
      <c r="H288" s="353">
        <v>44522</v>
      </c>
      <c r="I288" s="352"/>
      <c r="J288" s="353">
        <f>H288+14</f>
        <v>44536</v>
      </c>
      <c r="K288" s="352"/>
      <c r="L288" s="352"/>
      <c r="M288" s="352"/>
      <c r="N288" s="352"/>
      <c r="O288" s="352"/>
      <c r="P288" s="352"/>
      <c r="Q288" s="332" t="s">
        <v>106</v>
      </c>
      <c r="R288" s="332" t="s">
        <v>716</v>
      </c>
      <c r="S288" s="332">
        <f t="shared" si="138"/>
        <v>20</v>
      </c>
      <c r="T288" s="332"/>
      <c r="U288" s="332">
        <v>0</v>
      </c>
      <c r="V288" s="332">
        <v>20</v>
      </c>
      <c r="W288" s="332"/>
      <c r="X288" s="332"/>
      <c r="Y288" s="332"/>
      <c r="Z288" s="332"/>
      <c r="AA288" s="332"/>
      <c r="AB288" s="332"/>
      <c r="AC288" s="332"/>
      <c r="AD288" s="332"/>
      <c r="AE288" s="332"/>
      <c r="AF288" s="332"/>
      <c r="AG288" s="332" t="s">
        <v>85</v>
      </c>
      <c r="AH288" s="332" t="s">
        <v>86</v>
      </c>
      <c r="AI288" s="332"/>
      <c r="AJ288" s="354"/>
      <c r="AK288" s="354"/>
      <c r="AL288" s="332"/>
      <c r="AM288" s="332"/>
      <c r="AN288" s="332"/>
      <c r="AO288" s="340"/>
      <c r="AP288" s="340"/>
      <c r="AQ288" s="474"/>
      <c r="AR288" s="135">
        <f>COUNTIF(B:B,B288)</f>
        <v>1</v>
      </c>
      <c r="AS288" s="135" t="str">
        <f t="shared" si="141"/>
        <v>2021_11_22_a</v>
      </c>
      <c r="AT288" s="136"/>
      <c r="AU288" s="135" t="str">
        <f t="shared" si="142"/>
        <v>2021</v>
      </c>
      <c r="AV288" s="135" t="str">
        <f t="shared" si="143"/>
        <v>11</v>
      </c>
      <c r="AW288" s="135" t="str">
        <f t="shared" si="144"/>
        <v>22</v>
      </c>
      <c r="AX288" s="135">
        <f t="shared" si="145"/>
        <v>44522</v>
      </c>
      <c r="AY288" s="137"/>
      <c r="AZ288" s="138">
        <f t="shared" si="146"/>
        <v>44522</v>
      </c>
      <c r="BA288" s="135" t="b">
        <f t="shared" si="147"/>
        <v>1</v>
      </c>
      <c r="BB288" s="135">
        <f t="shared" si="148"/>
        <v>44522</v>
      </c>
      <c r="BC288" s="135" t="str">
        <f t="shared" si="149"/>
        <v>no</v>
      </c>
      <c r="BD288" s="135" t="b">
        <f t="shared" si="150"/>
        <v>0</v>
      </c>
      <c r="BE288" s="139" t="s">
        <v>59</v>
      </c>
      <c r="BF288" s="350"/>
    </row>
    <row r="289" spans="1:58" s="331" customFormat="1" ht="154">
      <c r="A289" s="338"/>
      <c r="B289" s="338" t="s">
        <v>838</v>
      </c>
      <c r="C289" s="338"/>
      <c r="D289" s="338">
        <v>10236683</v>
      </c>
      <c r="E289" s="338"/>
      <c r="F289" s="351" t="s">
        <v>713</v>
      </c>
      <c r="G289" s="352" t="s">
        <v>796</v>
      </c>
      <c r="H289" s="353">
        <v>44544</v>
      </c>
      <c r="I289" s="352"/>
      <c r="J289" s="353">
        <f>H289+14</f>
        <v>44558</v>
      </c>
      <c r="K289" s="352"/>
      <c r="L289" s="352"/>
      <c r="M289" s="352"/>
      <c r="N289" s="352"/>
      <c r="O289" s="352"/>
      <c r="P289" s="352"/>
      <c r="Q289" s="332" t="s">
        <v>106</v>
      </c>
      <c r="R289" s="332" t="s">
        <v>716</v>
      </c>
      <c r="S289" s="332">
        <f t="shared" si="138"/>
        <v>100</v>
      </c>
      <c r="T289" s="332"/>
      <c r="U289" s="332">
        <v>0</v>
      </c>
      <c r="V289" s="332">
        <v>100</v>
      </c>
      <c r="W289" s="332"/>
      <c r="X289" s="332"/>
      <c r="Y289" s="332"/>
      <c r="Z289" s="332"/>
      <c r="AA289" s="332"/>
      <c r="AB289" s="332"/>
      <c r="AC289" s="332"/>
      <c r="AD289" s="332"/>
      <c r="AE289" s="332"/>
      <c r="AF289" s="332"/>
      <c r="AG289" s="332" t="s">
        <v>85</v>
      </c>
      <c r="AH289" s="332" t="s">
        <v>86</v>
      </c>
      <c r="AI289" s="332"/>
      <c r="AJ289" s="354"/>
      <c r="AK289" s="354"/>
      <c r="AL289" s="332"/>
      <c r="AM289" s="332"/>
      <c r="AN289" s="332"/>
      <c r="AO289" s="340"/>
      <c r="AP289" s="340"/>
      <c r="AQ289" s="474"/>
      <c r="AR289" s="135">
        <f>COUNTIF(B:B,B289)</f>
        <v>1</v>
      </c>
      <c r="AS289" s="135" t="str">
        <f t="shared" si="141"/>
        <v>2021_12_14_a</v>
      </c>
      <c r="AT289" s="136"/>
      <c r="AU289" s="135" t="str">
        <f t="shared" si="142"/>
        <v>2021</v>
      </c>
      <c r="AV289" s="135" t="str">
        <f t="shared" si="143"/>
        <v>12</v>
      </c>
      <c r="AW289" s="135" t="str">
        <f t="shared" si="144"/>
        <v>14</v>
      </c>
      <c r="AX289" s="135">
        <f t="shared" si="145"/>
        <v>44544</v>
      </c>
      <c r="AY289" s="137"/>
      <c r="AZ289" s="138">
        <f t="shared" si="146"/>
        <v>44544</v>
      </c>
      <c r="BA289" s="135" t="b">
        <f t="shared" si="147"/>
        <v>1</v>
      </c>
      <c r="BB289" s="135">
        <f t="shared" si="148"/>
        <v>44544</v>
      </c>
      <c r="BC289" s="135" t="str">
        <f t="shared" si="149"/>
        <v>no</v>
      </c>
      <c r="BD289" s="135" t="b">
        <f t="shared" si="150"/>
        <v>0</v>
      </c>
      <c r="BE289" s="139" t="s">
        <v>59</v>
      </c>
      <c r="BF289" s="350"/>
    </row>
    <row r="290" spans="1:58" s="331" customFormat="1" ht="154">
      <c r="A290" s="338"/>
      <c r="B290" s="336" t="s">
        <v>839</v>
      </c>
      <c r="C290" s="338"/>
      <c r="D290" s="338">
        <v>10236684</v>
      </c>
      <c r="E290" s="338"/>
      <c r="F290" s="337" t="s">
        <v>713</v>
      </c>
      <c r="G290" s="338" t="s">
        <v>801</v>
      </c>
      <c r="H290" s="339">
        <v>44579</v>
      </c>
      <c r="I290" s="337"/>
      <c r="J290" s="339">
        <f t="shared" ref="J290:J323" si="151">H290+14</f>
        <v>44593</v>
      </c>
      <c r="K290" s="337"/>
      <c r="L290" s="337"/>
      <c r="M290" s="337"/>
      <c r="N290" s="337"/>
      <c r="O290" s="337"/>
      <c r="P290" s="337"/>
      <c r="Q290" s="338" t="s">
        <v>49</v>
      </c>
      <c r="R290" s="338" t="s">
        <v>716</v>
      </c>
      <c r="S290" s="332">
        <f t="shared" si="138"/>
        <v>50</v>
      </c>
      <c r="T290" s="338"/>
      <c r="U290" s="338">
        <v>0</v>
      </c>
      <c r="V290" s="340">
        <v>50</v>
      </c>
      <c r="W290" s="338"/>
      <c r="X290" s="338"/>
      <c r="Y290" s="338"/>
      <c r="Z290" s="338"/>
      <c r="AA290" s="338"/>
      <c r="AB290" s="338"/>
      <c r="AC290" s="338"/>
      <c r="AD290" s="338"/>
      <c r="AE290" s="338"/>
      <c r="AF290" s="338"/>
      <c r="AG290" s="332" t="s">
        <v>85</v>
      </c>
      <c r="AH290" s="332" t="s">
        <v>86</v>
      </c>
      <c r="AI290" s="338"/>
      <c r="AJ290" s="338"/>
      <c r="AK290" s="338"/>
      <c r="AL290" s="341"/>
      <c r="AM290" s="332"/>
      <c r="AN290" s="332"/>
      <c r="AO290" s="340"/>
      <c r="AP290" s="340"/>
      <c r="AQ290" s="474"/>
      <c r="AR290" s="135">
        <f>COUNTIF(B:B,B290)</f>
        <v>1</v>
      </c>
      <c r="AS290" s="135" t="str">
        <f t="shared" si="141"/>
        <v>2022_01_18_a</v>
      </c>
      <c r="AT290" s="136"/>
      <c r="AU290" s="135" t="str">
        <f t="shared" si="142"/>
        <v>2022</v>
      </c>
      <c r="AV290" s="135" t="str">
        <f t="shared" si="143"/>
        <v>01</v>
      </c>
      <c r="AW290" s="135" t="str">
        <f t="shared" si="144"/>
        <v>18</v>
      </c>
      <c r="AX290" s="135">
        <f t="shared" si="145"/>
        <v>44579</v>
      </c>
      <c r="AY290" s="137"/>
      <c r="AZ290" s="138">
        <f t="shared" si="146"/>
        <v>44579</v>
      </c>
      <c r="BA290" s="135" t="b">
        <f t="shared" si="147"/>
        <v>1</v>
      </c>
      <c r="BB290" s="135">
        <f t="shared" si="148"/>
        <v>44579</v>
      </c>
      <c r="BC290" s="135" t="str">
        <f t="shared" si="149"/>
        <v>no</v>
      </c>
      <c r="BD290" s="135" t="b">
        <f t="shared" si="150"/>
        <v>0</v>
      </c>
      <c r="BE290" s="139" t="s">
        <v>59</v>
      </c>
      <c r="BF290" s="350"/>
    </row>
    <row r="291" spans="1:58" s="331" customFormat="1" ht="154">
      <c r="A291" s="338"/>
      <c r="B291" s="336" t="s">
        <v>840</v>
      </c>
      <c r="C291" s="338"/>
      <c r="D291" s="338">
        <v>10258854</v>
      </c>
      <c r="E291" s="338"/>
      <c r="F291" s="337" t="s">
        <v>713</v>
      </c>
      <c r="G291" s="338" t="s">
        <v>803</v>
      </c>
      <c r="H291" s="339">
        <v>44607</v>
      </c>
      <c r="I291" s="337"/>
      <c r="J291" s="339">
        <f t="shared" si="151"/>
        <v>44621</v>
      </c>
      <c r="K291" s="337"/>
      <c r="L291" s="337"/>
      <c r="M291" s="337"/>
      <c r="N291" s="337"/>
      <c r="O291" s="337"/>
      <c r="P291" s="337"/>
      <c r="Q291" s="338" t="s">
        <v>49</v>
      </c>
      <c r="R291" s="338" t="s">
        <v>716</v>
      </c>
      <c r="S291" s="332">
        <f t="shared" si="138"/>
        <v>50</v>
      </c>
      <c r="T291" s="338"/>
      <c r="U291" s="338">
        <v>0</v>
      </c>
      <c r="V291" s="340">
        <v>50</v>
      </c>
      <c r="W291" s="338"/>
      <c r="X291" s="338"/>
      <c r="Y291" s="338"/>
      <c r="Z291" s="338"/>
      <c r="AA291" s="338"/>
      <c r="AB291" s="338"/>
      <c r="AC291" s="338"/>
      <c r="AD291" s="338"/>
      <c r="AE291" s="338"/>
      <c r="AF291" s="338"/>
      <c r="AG291" s="332" t="s">
        <v>85</v>
      </c>
      <c r="AH291" s="332" t="s">
        <v>86</v>
      </c>
      <c r="AI291" s="338"/>
      <c r="AJ291" s="338"/>
      <c r="AK291" s="338"/>
      <c r="AL291" s="341"/>
      <c r="AM291" s="332"/>
      <c r="AN291" s="332"/>
      <c r="AO291" s="340"/>
      <c r="AP291" s="340"/>
      <c r="AQ291" s="474"/>
      <c r="AR291" s="135">
        <f>COUNTIF(B:B,B291)</f>
        <v>1</v>
      </c>
      <c r="AS291" s="135" t="str">
        <f t="shared" si="141"/>
        <v>2022_02_15_a</v>
      </c>
      <c r="AT291" s="136"/>
      <c r="AU291" s="135" t="str">
        <f t="shared" si="142"/>
        <v>2022</v>
      </c>
      <c r="AV291" s="135" t="str">
        <f t="shared" si="143"/>
        <v>02</v>
      </c>
      <c r="AW291" s="135" t="str">
        <f t="shared" si="144"/>
        <v>15</v>
      </c>
      <c r="AX291" s="135">
        <f t="shared" si="145"/>
        <v>44607</v>
      </c>
      <c r="AY291" s="137"/>
      <c r="AZ291" s="138">
        <f t="shared" si="146"/>
        <v>44607</v>
      </c>
      <c r="BA291" s="135" t="b">
        <f t="shared" si="147"/>
        <v>1</v>
      </c>
      <c r="BB291" s="135">
        <f t="shared" si="148"/>
        <v>44607</v>
      </c>
      <c r="BC291" s="135" t="str">
        <f t="shared" si="149"/>
        <v>no</v>
      </c>
      <c r="BD291" s="135" t="b">
        <f t="shared" si="150"/>
        <v>0</v>
      </c>
      <c r="BE291" s="139" t="s">
        <v>59</v>
      </c>
      <c r="BF291" s="350"/>
    </row>
    <row r="292" spans="1:58" s="331" customFormat="1" ht="154">
      <c r="A292" s="338"/>
      <c r="B292" s="336" t="s">
        <v>841</v>
      </c>
      <c r="C292" s="338"/>
      <c r="D292" s="338">
        <v>10258856</v>
      </c>
      <c r="E292" s="338"/>
      <c r="F292" s="337" t="s">
        <v>713</v>
      </c>
      <c r="G292" s="338" t="s">
        <v>806</v>
      </c>
      <c r="H292" s="339">
        <v>44635</v>
      </c>
      <c r="I292" s="337"/>
      <c r="J292" s="339">
        <f t="shared" si="151"/>
        <v>44649</v>
      </c>
      <c r="K292" s="337"/>
      <c r="L292" s="337"/>
      <c r="M292" s="337"/>
      <c r="N292" s="337"/>
      <c r="O292" s="337"/>
      <c r="P292" s="337"/>
      <c r="Q292" s="338" t="s">
        <v>49</v>
      </c>
      <c r="R292" s="338" t="s">
        <v>716</v>
      </c>
      <c r="S292" s="332">
        <f t="shared" si="138"/>
        <v>50</v>
      </c>
      <c r="T292" s="338"/>
      <c r="U292" s="338">
        <v>0</v>
      </c>
      <c r="V292" s="340">
        <v>50</v>
      </c>
      <c r="W292" s="338"/>
      <c r="X292" s="338"/>
      <c r="Y292" s="338"/>
      <c r="Z292" s="338"/>
      <c r="AA292" s="338"/>
      <c r="AB292" s="338"/>
      <c r="AC292" s="338"/>
      <c r="AD292" s="338"/>
      <c r="AE292" s="338"/>
      <c r="AF292" s="338"/>
      <c r="AG292" s="332" t="s">
        <v>85</v>
      </c>
      <c r="AH292" s="332" t="s">
        <v>86</v>
      </c>
      <c r="AI292" s="338"/>
      <c r="AJ292" s="338"/>
      <c r="AK292" s="338"/>
      <c r="AL292" s="341"/>
      <c r="AM292" s="332"/>
      <c r="AN292" s="332"/>
      <c r="AO292" s="340"/>
      <c r="AP292" s="340"/>
      <c r="AQ292" s="474"/>
      <c r="AR292" s="135">
        <f>COUNTIF(B:B,B292)</f>
        <v>1</v>
      </c>
      <c r="AS292" s="135" t="str">
        <f t="shared" si="141"/>
        <v>2022_03_15_a</v>
      </c>
      <c r="AT292" s="136"/>
      <c r="AU292" s="135" t="str">
        <f t="shared" si="142"/>
        <v>2022</v>
      </c>
      <c r="AV292" s="135" t="str">
        <f t="shared" si="143"/>
        <v>03</v>
      </c>
      <c r="AW292" s="135" t="str">
        <f t="shared" si="144"/>
        <v>15</v>
      </c>
      <c r="AX292" s="135">
        <f t="shared" si="145"/>
        <v>44635</v>
      </c>
      <c r="AY292" s="137"/>
      <c r="AZ292" s="138">
        <f t="shared" si="146"/>
        <v>44635</v>
      </c>
      <c r="BA292" s="135" t="b">
        <f t="shared" si="147"/>
        <v>1</v>
      </c>
      <c r="BB292" s="135">
        <f t="shared" si="148"/>
        <v>44635</v>
      </c>
      <c r="BC292" s="135" t="str">
        <f t="shared" si="149"/>
        <v>no</v>
      </c>
      <c r="BD292" s="135" t="b">
        <f t="shared" si="150"/>
        <v>0</v>
      </c>
      <c r="BE292" s="139" t="s">
        <v>59</v>
      </c>
      <c r="BF292" s="350"/>
    </row>
    <row r="293" spans="1:58" s="331" customFormat="1" ht="154">
      <c r="A293" s="338"/>
      <c r="B293" s="336" t="s">
        <v>842</v>
      </c>
      <c r="C293" s="338"/>
      <c r="D293" s="338">
        <v>10280508</v>
      </c>
      <c r="E293" s="338"/>
      <c r="F293" s="337" t="s">
        <v>713</v>
      </c>
      <c r="G293" s="338" t="s">
        <v>809</v>
      </c>
      <c r="H293" s="339">
        <v>44663</v>
      </c>
      <c r="I293" s="337"/>
      <c r="J293" s="339">
        <f t="shared" si="151"/>
        <v>44677</v>
      </c>
      <c r="K293" s="337"/>
      <c r="L293" s="337"/>
      <c r="M293" s="337"/>
      <c r="N293" s="337"/>
      <c r="O293" s="337"/>
      <c r="P293" s="337"/>
      <c r="Q293" s="338" t="s">
        <v>82</v>
      </c>
      <c r="R293" s="338" t="s">
        <v>716</v>
      </c>
      <c r="S293" s="332">
        <f t="shared" si="138"/>
        <v>50</v>
      </c>
      <c r="T293" s="338"/>
      <c r="U293" s="338">
        <v>0</v>
      </c>
      <c r="V293" s="340">
        <v>50</v>
      </c>
      <c r="W293" s="338"/>
      <c r="X293" s="338"/>
      <c r="Y293" s="338"/>
      <c r="Z293" s="338"/>
      <c r="AA293" s="338"/>
      <c r="AB293" s="338"/>
      <c r="AC293" s="338"/>
      <c r="AD293" s="338"/>
      <c r="AE293" s="338"/>
      <c r="AF293" s="338"/>
      <c r="AG293" s="332" t="s">
        <v>85</v>
      </c>
      <c r="AH293" s="332" t="s">
        <v>86</v>
      </c>
      <c r="AI293" s="338"/>
      <c r="AJ293" s="338"/>
      <c r="AK293" s="338"/>
      <c r="AL293" s="341"/>
      <c r="AM293" s="332"/>
      <c r="AN293" s="332"/>
      <c r="AO293" s="340"/>
      <c r="AP293" s="340"/>
      <c r="AQ293" s="474"/>
      <c r="AR293" s="135">
        <f>COUNTIF(B:B,B293)</f>
        <v>1</v>
      </c>
      <c r="AS293" s="135" t="str">
        <f t="shared" si="141"/>
        <v>2022_04_12_a</v>
      </c>
      <c r="AT293" s="136"/>
      <c r="AU293" s="135" t="str">
        <f t="shared" si="142"/>
        <v>2022</v>
      </c>
      <c r="AV293" s="135" t="str">
        <f t="shared" si="143"/>
        <v>04</v>
      </c>
      <c r="AW293" s="135" t="str">
        <f t="shared" si="144"/>
        <v>12</v>
      </c>
      <c r="AX293" s="135">
        <f t="shared" si="145"/>
        <v>44663</v>
      </c>
      <c r="AY293" s="137"/>
      <c r="AZ293" s="138">
        <f t="shared" si="146"/>
        <v>44663</v>
      </c>
      <c r="BA293" s="135" t="b">
        <f t="shared" si="147"/>
        <v>1</v>
      </c>
      <c r="BB293" s="135">
        <f t="shared" si="148"/>
        <v>44663</v>
      </c>
      <c r="BC293" s="135" t="str">
        <f t="shared" si="149"/>
        <v>no</v>
      </c>
      <c r="BD293" s="135" t="b">
        <f t="shared" si="150"/>
        <v>0</v>
      </c>
      <c r="BE293" s="139" t="s">
        <v>59</v>
      </c>
      <c r="BF293" s="350"/>
    </row>
    <row r="294" spans="1:58" s="331" customFormat="1" ht="154">
      <c r="A294" s="338"/>
      <c r="B294" s="336" t="s">
        <v>843</v>
      </c>
      <c r="C294" s="338"/>
      <c r="D294" s="338" t="s">
        <v>844</v>
      </c>
      <c r="E294" s="338"/>
      <c r="F294" s="337" t="s">
        <v>713</v>
      </c>
      <c r="G294" s="338" t="s">
        <v>813</v>
      </c>
      <c r="H294" s="339">
        <v>44698</v>
      </c>
      <c r="I294" s="337"/>
      <c r="J294" s="339">
        <f t="shared" si="151"/>
        <v>44712</v>
      </c>
      <c r="K294" s="337"/>
      <c r="L294" s="337"/>
      <c r="M294" s="337"/>
      <c r="N294" s="337"/>
      <c r="O294" s="337"/>
      <c r="P294" s="337"/>
      <c r="Q294" s="338" t="s">
        <v>82</v>
      </c>
      <c r="R294" s="338" t="s">
        <v>716</v>
      </c>
      <c r="S294" s="332">
        <f t="shared" si="138"/>
        <v>50</v>
      </c>
      <c r="T294" s="338"/>
      <c r="U294" s="338">
        <v>0</v>
      </c>
      <c r="V294" s="340">
        <v>50</v>
      </c>
      <c r="W294" s="338"/>
      <c r="X294" s="338"/>
      <c r="Y294" s="338"/>
      <c r="Z294" s="338"/>
      <c r="AA294" s="338"/>
      <c r="AB294" s="338"/>
      <c r="AC294" s="338"/>
      <c r="AD294" s="338"/>
      <c r="AE294" s="338"/>
      <c r="AF294" s="338"/>
      <c r="AG294" s="332" t="s">
        <v>85</v>
      </c>
      <c r="AH294" s="332" t="s">
        <v>86</v>
      </c>
      <c r="AI294" s="338"/>
      <c r="AJ294" s="338"/>
      <c r="AK294" s="338"/>
      <c r="AL294" s="341"/>
      <c r="AM294" s="332"/>
      <c r="AN294" s="332"/>
      <c r="AO294" s="340"/>
      <c r="AP294" s="340"/>
      <c r="AQ294" s="474"/>
      <c r="AR294" s="135">
        <f>COUNTIF(B:B,B294)</f>
        <v>1</v>
      </c>
      <c r="AS294" s="135" t="str">
        <f t="shared" si="141"/>
        <v>2022_05_17_a</v>
      </c>
      <c r="AT294" s="136"/>
      <c r="AU294" s="135" t="str">
        <f t="shared" si="142"/>
        <v>2022</v>
      </c>
      <c r="AV294" s="135" t="str">
        <f t="shared" si="143"/>
        <v>05</v>
      </c>
      <c r="AW294" s="135" t="str">
        <f t="shared" si="144"/>
        <v>17</v>
      </c>
      <c r="AX294" s="135">
        <f t="shared" si="145"/>
        <v>44698</v>
      </c>
      <c r="AY294" s="137"/>
      <c r="AZ294" s="138">
        <f t="shared" si="146"/>
        <v>44698</v>
      </c>
      <c r="BA294" s="135" t="b">
        <f t="shared" si="147"/>
        <v>1</v>
      </c>
      <c r="BB294" s="135">
        <f t="shared" si="148"/>
        <v>44698</v>
      </c>
      <c r="BC294" s="135" t="str">
        <f t="shared" si="149"/>
        <v>no</v>
      </c>
      <c r="BD294" s="135" t="b">
        <f t="shared" si="150"/>
        <v>0</v>
      </c>
      <c r="BE294" s="139" t="s">
        <v>59</v>
      </c>
      <c r="BF294" s="350"/>
    </row>
    <row r="295" spans="1:58" s="331" customFormat="1" ht="154">
      <c r="A295" s="338"/>
      <c r="B295" s="336" t="s">
        <v>845</v>
      </c>
      <c r="C295" s="338"/>
      <c r="D295" s="338">
        <v>10291069</v>
      </c>
      <c r="E295" s="338"/>
      <c r="F295" s="337" t="s">
        <v>713</v>
      </c>
      <c r="G295" s="338" t="s">
        <v>817</v>
      </c>
      <c r="H295" s="339">
        <v>44726</v>
      </c>
      <c r="I295" s="337"/>
      <c r="J295" s="339">
        <f t="shared" si="151"/>
        <v>44740</v>
      </c>
      <c r="K295" s="337"/>
      <c r="L295" s="337"/>
      <c r="M295" s="337"/>
      <c r="N295" s="337"/>
      <c r="O295" s="337"/>
      <c r="P295" s="337"/>
      <c r="Q295" s="338" t="s">
        <v>82</v>
      </c>
      <c r="R295" s="338" t="s">
        <v>716</v>
      </c>
      <c r="S295" s="332">
        <f t="shared" si="138"/>
        <v>50</v>
      </c>
      <c r="T295" s="338"/>
      <c r="U295" s="338">
        <v>0</v>
      </c>
      <c r="V295" s="340">
        <v>50</v>
      </c>
      <c r="W295" s="338"/>
      <c r="X295" s="338"/>
      <c r="Y295" s="338"/>
      <c r="Z295" s="338"/>
      <c r="AA295" s="338"/>
      <c r="AB295" s="338"/>
      <c r="AC295" s="338"/>
      <c r="AD295" s="338"/>
      <c r="AE295" s="338"/>
      <c r="AF295" s="338"/>
      <c r="AG295" s="332" t="s">
        <v>85</v>
      </c>
      <c r="AH295" s="332" t="s">
        <v>86</v>
      </c>
      <c r="AI295" s="338"/>
      <c r="AJ295" s="338"/>
      <c r="AK295" s="338"/>
      <c r="AL295" s="341"/>
      <c r="AM295" s="332"/>
      <c r="AN295" s="332"/>
      <c r="AO295" s="340"/>
      <c r="AP295" s="340"/>
      <c r="AQ295" s="474"/>
      <c r="AR295" s="135">
        <f>COUNTIF(B:B,B295)</f>
        <v>1</v>
      </c>
      <c r="AS295" s="135" t="str">
        <f t="shared" si="141"/>
        <v>2022_06_14_a</v>
      </c>
      <c r="AT295" s="136"/>
      <c r="AU295" s="135" t="str">
        <f t="shared" si="142"/>
        <v>2022</v>
      </c>
      <c r="AV295" s="135" t="str">
        <f t="shared" si="143"/>
        <v>06</v>
      </c>
      <c r="AW295" s="135" t="str">
        <f t="shared" si="144"/>
        <v>14</v>
      </c>
      <c r="AX295" s="135">
        <f t="shared" si="145"/>
        <v>44726</v>
      </c>
      <c r="AY295" s="137"/>
      <c r="AZ295" s="138">
        <f t="shared" si="146"/>
        <v>44726</v>
      </c>
      <c r="BA295" s="135" t="b">
        <f t="shared" si="147"/>
        <v>1</v>
      </c>
      <c r="BB295" s="135">
        <f t="shared" si="148"/>
        <v>44726</v>
      </c>
      <c r="BC295" s="135" t="str">
        <f t="shared" si="149"/>
        <v>no</v>
      </c>
      <c r="BD295" s="135" t="b">
        <f t="shared" si="150"/>
        <v>0</v>
      </c>
      <c r="BE295" s="139" t="s">
        <v>59</v>
      </c>
      <c r="BF295" s="350"/>
    </row>
    <row r="296" spans="1:58" s="331" customFormat="1" ht="154">
      <c r="A296" s="338"/>
      <c r="B296" s="336" t="s">
        <v>846</v>
      </c>
      <c r="C296" s="338"/>
      <c r="D296" s="338">
        <v>10291071</v>
      </c>
      <c r="E296" s="338"/>
      <c r="F296" s="337" t="s">
        <v>713</v>
      </c>
      <c r="G296" s="338" t="s">
        <v>822</v>
      </c>
      <c r="H296" s="339">
        <v>44754</v>
      </c>
      <c r="I296" s="337"/>
      <c r="J296" s="339">
        <f t="shared" si="151"/>
        <v>44768</v>
      </c>
      <c r="K296" s="337"/>
      <c r="L296" s="337"/>
      <c r="M296" s="337"/>
      <c r="N296" s="337"/>
      <c r="O296" s="337"/>
      <c r="P296" s="337"/>
      <c r="Q296" s="338" t="s">
        <v>93</v>
      </c>
      <c r="R296" s="338" t="s">
        <v>716</v>
      </c>
      <c r="S296" s="332">
        <f t="shared" si="138"/>
        <v>50</v>
      </c>
      <c r="T296" s="338"/>
      <c r="U296" s="338">
        <v>0</v>
      </c>
      <c r="V296" s="340">
        <v>50</v>
      </c>
      <c r="W296" s="338"/>
      <c r="X296" s="338"/>
      <c r="Y296" s="338"/>
      <c r="Z296" s="338"/>
      <c r="AA296" s="338"/>
      <c r="AB296" s="338"/>
      <c r="AC296" s="338"/>
      <c r="AD296" s="338"/>
      <c r="AE296" s="338"/>
      <c r="AF296" s="338"/>
      <c r="AG296" s="332" t="s">
        <v>85</v>
      </c>
      <c r="AH296" s="332" t="s">
        <v>86</v>
      </c>
      <c r="AI296" s="338"/>
      <c r="AJ296" s="338"/>
      <c r="AK296" s="338"/>
      <c r="AL296" s="341"/>
      <c r="AM296" s="332"/>
      <c r="AN296" s="332"/>
      <c r="AO296" s="340"/>
      <c r="AP296" s="340"/>
      <c r="AQ296" s="474"/>
      <c r="AR296" s="135">
        <f>COUNTIF(B:B,B296)</f>
        <v>1</v>
      </c>
      <c r="AS296" s="135" t="str">
        <f t="shared" si="141"/>
        <v>2022_07_12_a</v>
      </c>
      <c r="AT296" s="136"/>
      <c r="AU296" s="135" t="str">
        <f t="shared" si="142"/>
        <v>2022</v>
      </c>
      <c r="AV296" s="135" t="str">
        <f t="shared" si="143"/>
        <v>07</v>
      </c>
      <c r="AW296" s="135" t="str">
        <f t="shared" si="144"/>
        <v>12</v>
      </c>
      <c r="AX296" s="135">
        <f t="shared" si="145"/>
        <v>44754</v>
      </c>
      <c r="AY296" s="137"/>
      <c r="AZ296" s="138">
        <f t="shared" si="146"/>
        <v>44754</v>
      </c>
      <c r="BA296" s="135" t="b">
        <f t="shared" si="147"/>
        <v>1</v>
      </c>
      <c r="BB296" s="135">
        <f t="shared" si="148"/>
        <v>44754</v>
      </c>
      <c r="BC296" s="135" t="str">
        <f t="shared" si="149"/>
        <v>no</v>
      </c>
      <c r="BD296" s="135" t="b">
        <f t="shared" si="150"/>
        <v>0</v>
      </c>
      <c r="BE296" s="139" t="s">
        <v>59</v>
      </c>
      <c r="BF296" s="350"/>
    </row>
    <row r="297" spans="1:58" s="331" customFormat="1" ht="154">
      <c r="A297" s="338"/>
      <c r="B297" s="336" t="s">
        <v>847</v>
      </c>
      <c r="C297" s="338"/>
      <c r="D297" s="338"/>
      <c r="E297" s="338"/>
      <c r="F297" s="337" t="s">
        <v>713</v>
      </c>
      <c r="G297" s="338" t="s">
        <v>824</v>
      </c>
      <c r="H297" s="339">
        <v>44788</v>
      </c>
      <c r="I297" s="337"/>
      <c r="J297" s="339">
        <f t="shared" si="151"/>
        <v>44802</v>
      </c>
      <c r="K297" s="337"/>
      <c r="L297" s="337"/>
      <c r="M297" s="337"/>
      <c r="N297" s="337"/>
      <c r="O297" s="337"/>
      <c r="P297" s="337"/>
      <c r="Q297" s="338" t="s">
        <v>93</v>
      </c>
      <c r="R297" s="338" t="s">
        <v>716</v>
      </c>
      <c r="S297" s="332">
        <f t="shared" si="138"/>
        <v>50</v>
      </c>
      <c r="T297" s="338"/>
      <c r="U297" s="338">
        <v>0</v>
      </c>
      <c r="V297" s="340">
        <v>50</v>
      </c>
      <c r="W297" s="338"/>
      <c r="X297" s="338"/>
      <c r="Y297" s="338"/>
      <c r="Z297" s="338"/>
      <c r="AA297" s="338"/>
      <c r="AB297" s="338"/>
      <c r="AC297" s="338"/>
      <c r="AD297" s="338"/>
      <c r="AE297" s="338"/>
      <c r="AF297" s="338"/>
      <c r="AG297" s="332" t="s">
        <v>85</v>
      </c>
      <c r="AH297" s="332" t="s">
        <v>86</v>
      </c>
      <c r="AI297" s="338"/>
      <c r="AJ297" s="338"/>
      <c r="AK297" s="338"/>
      <c r="AL297" s="341"/>
      <c r="AM297" s="332"/>
      <c r="AN297" s="332"/>
      <c r="AO297" s="340"/>
      <c r="AP297" s="340"/>
      <c r="AQ297" s="474"/>
      <c r="AR297" s="135">
        <f>COUNTIF(B:B,B297)</f>
        <v>1</v>
      </c>
      <c r="AS297" s="135" t="str">
        <f t="shared" si="141"/>
        <v>2022_08_15_a</v>
      </c>
      <c r="AT297" s="136"/>
      <c r="AU297" s="135" t="str">
        <f t="shared" si="142"/>
        <v>2022</v>
      </c>
      <c r="AV297" s="135" t="str">
        <f t="shared" si="143"/>
        <v>08</v>
      </c>
      <c r="AW297" s="135" t="str">
        <f t="shared" si="144"/>
        <v>15</v>
      </c>
      <c r="AX297" s="135">
        <f t="shared" si="145"/>
        <v>44788</v>
      </c>
      <c r="AY297" s="137"/>
      <c r="AZ297" s="138">
        <f t="shared" si="146"/>
        <v>44788</v>
      </c>
      <c r="BA297" s="135" t="b">
        <f t="shared" si="147"/>
        <v>1</v>
      </c>
      <c r="BB297" s="135">
        <f t="shared" si="148"/>
        <v>44788</v>
      </c>
      <c r="BC297" s="135" t="str">
        <f t="shared" si="149"/>
        <v>no</v>
      </c>
      <c r="BD297" s="135" t="b">
        <f t="shared" si="150"/>
        <v>0</v>
      </c>
      <c r="BE297" s="139" t="s">
        <v>59</v>
      </c>
      <c r="BF297" s="350"/>
    </row>
    <row r="298" spans="1:58" s="331" customFormat="1" ht="154">
      <c r="A298" s="338"/>
      <c r="B298" s="336" t="s">
        <v>848</v>
      </c>
      <c r="C298" s="338"/>
      <c r="D298" s="338"/>
      <c r="E298" s="338"/>
      <c r="F298" s="337" t="s">
        <v>713</v>
      </c>
      <c r="G298" s="338" t="s">
        <v>829</v>
      </c>
      <c r="H298" s="339">
        <v>44817</v>
      </c>
      <c r="I298" s="337"/>
      <c r="J298" s="339">
        <f t="shared" si="151"/>
        <v>44831</v>
      </c>
      <c r="K298" s="337"/>
      <c r="L298" s="337"/>
      <c r="M298" s="337"/>
      <c r="N298" s="337"/>
      <c r="O298" s="337"/>
      <c r="P298" s="337"/>
      <c r="Q298" s="338" t="s">
        <v>93</v>
      </c>
      <c r="R298" s="338" t="s">
        <v>716</v>
      </c>
      <c r="S298" s="332">
        <f t="shared" si="138"/>
        <v>50</v>
      </c>
      <c r="T298" s="338"/>
      <c r="U298" s="338">
        <v>0</v>
      </c>
      <c r="V298" s="340">
        <v>50</v>
      </c>
      <c r="W298" s="338"/>
      <c r="X298" s="338"/>
      <c r="Y298" s="338"/>
      <c r="Z298" s="338"/>
      <c r="AA298" s="338"/>
      <c r="AB298" s="338"/>
      <c r="AC298" s="338"/>
      <c r="AD298" s="338"/>
      <c r="AE298" s="338"/>
      <c r="AF298" s="338"/>
      <c r="AG298" s="332" t="s">
        <v>85</v>
      </c>
      <c r="AH298" s="332" t="s">
        <v>86</v>
      </c>
      <c r="AI298" s="338"/>
      <c r="AJ298" s="338"/>
      <c r="AK298" s="338"/>
      <c r="AL298" s="341"/>
      <c r="AM298" s="332"/>
      <c r="AN298" s="332"/>
      <c r="AO298" s="340"/>
      <c r="AP298" s="340"/>
      <c r="AQ298" s="474"/>
      <c r="AR298" s="135">
        <f>COUNTIF(B:B,B298)</f>
        <v>1</v>
      </c>
      <c r="AS298" s="135" t="str">
        <f t="shared" si="141"/>
        <v>2022_09_13_a</v>
      </c>
      <c r="AT298" s="136"/>
      <c r="AU298" s="135" t="str">
        <f t="shared" si="142"/>
        <v>2022</v>
      </c>
      <c r="AV298" s="135" t="str">
        <f t="shared" si="143"/>
        <v>09</v>
      </c>
      <c r="AW298" s="135" t="str">
        <f t="shared" si="144"/>
        <v>13</v>
      </c>
      <c r="AX298" s="135">
        <f t="shared" si="145"/>
        <v>44817</v>
      </c>
      <c r="AY298" s="137"/>
      <c r="AZ298" s="138">
        <f t="shared" si="146"/>
        <v>44817</v>
      </c>
      <c r="BA298" s="135" t="b">
        <f t="shared" si="147"/>
        <v>1</v>
      </c>
      <c r="BB298" s="135">
        <f t="shared" si="148"/>
        <v>44817</v>
      </c>
      <c r="BC298" s="135" t="str">
        <f t="shared" si="149"/>
        <v>no</v>
      </c>
      <c r="BD298" s="135" t="b">
        <f t="shared" si="150"/>
        <v>0</v>
      </c>
      <c r="BE298" s="139" t="s">
        <v>59</v>
      </c>
      <c r="BF298" s="350"/>
    </row>
    <row r="299" spans="1:58" s="331" customFormat="1" ht="154">
      <c r="A299" s="338"/>
      <c r="B299" s="336" t="s">
        <v>849</v>
      </c>
      <c r="C299" s="338"/>
      <c r="D299" s="338"/>
      <c r="E299" s="338"/>
      <c r="F299" s="337" t="s">
        <v>713</v>
      </c>
      <c r="G299" s="338" t="s">
        <v>832</v>
      </c>
      <c r="H299" s="339">
        <v>44852</v>
      </c>
      <c r="I299" s="337"/>
      <c r="J299" s="339">
        <f t="shared" si="151"/>
        <v>44866</v>
      </c>
      <c r="K299" s="337"/>
      <c r="L299" s="337"/>
      <c r="M299" s="337"/>
      <c r="N299" s="337"/>
      <c r="O299" s="337"/>
      <c r="P299" s="337"/>
      <c r="Q299" s="338" t="s">
        <v>106</v>
      </c>
      <c r="R299" s="338" t="s">
        <v>716</v>
      </c>
      <c r="S299" s="332">
        <f t="shared" si="138"/>
        <v>50</v>
      </c>
      <c r="T299" s="338"/>
      <c r="U299" s="338">
        <v>0</v>
      </c>
      <c r="V299" s="340">
        <v>50</v>
      </c>
      <c r="W299" s="338"/>
      <c r="X299" s="338"/>
      <c r="Y299" s="338"/>
      <c r="Z299" s="338"/>
      <c r="AA299" s="338"/>
      <c r="AB299" s="338"/>
      <c r="AC299" s="338"/>
      <c r="AD299" s="338"/>
      <c r="AE299" s="338"/>
      <c r="AF299" s="338"/>
      <c r="AG299" s="332" t="s">
        <v>85</v>
      </c>
      <c r="AH299" s="332" t="s">
        <v>86</v>
      </c>
      <c r="AI299" s="338"/>
      <c r="AJ299" s="338"/>
      <c r="AK299" s="338"/>
      <c r="AL299" s="341"/>
      <c r="AM299" s="332"/>
      <c r="AN299" s="332"/>
      <c r="AO299" s="340"/>
      <c r="AP299" s="340"/>
      <c r="AQ299" s="474"/>
      <c r="AR299" s="135">
        <f>COUNTIF(B:B,B299)</f>
        <v>1</v>
      </c>
      <c r="AS299" s="135" t="str">
        <f t="shared" si="141"/>
        <v>2022_10_18_a</v>
      </c>
      <c r="AT299" s="136"/>
      <c r="AU299" s="135" t="str">
        <f t="shared" si="142"/>
        <v>2022</v>
      </c>
      <c r="AV299" s="135" t="str">
        <f t="shared" si="143"/>
        <v>10</v>
      </c>
      <c r="AW299" s="135" t="str">
        <f t="shared" si="144"/>
        <v>18</v>
      </c>
      <c r="AX299" s="135">
        <f t="shared" si="145"/>
        <v>44852</v>
      </c>
      <c r="AY299" s="137"/>
      <c r="AZ299" s="138">
        <f t="shared" si="146"/>
        <v>44852</v>
      </c>
      <c r="BA299" s="135" t="b">
        <f t="shared" si="147"/>
        <v>1</v>
      </c>
      <c r="BB299" s="135">
        <f t="shared" si="148"/>
        <v>44852</v>
      </c>
      <c r="BC299" s="135" t="str">
        <f t="shared" si="149"/>
        <v>no</v>
      </c>
      <c r="BD299" s="135" t="b">
        <f t="shared" si="150"/>
        <v>0</v>
      </c>
      <c r="BE299" s="139" t="s">
        <v>59</v>
      </c>
      <c r="BF299" s="350"/>
    </row>
    <row r="300" spans="1:58" s="331" customFormat="1" ht="154">
      <c r="A300" s="338"/>
      <c r="B300" s="336" t="s">
        <v>850</v>
      </c>
      <c r="C300" s="338"/>
      <c r="D300" s="338"/>
      <c r="E300" s="338"/>
      <c r="F300" s="337" t="s">
        <v>713</v>
      </c>
      <c r="G300" s="338" t="s">
        <v>834</v>
      </c>
      <c r="H300" s="339">
        <v>44879</v>
      </c>
      <c r="I300" s="337"/>
      <c r="J300" s="339">
        <f t="shared" si="151"/>
        <v>44893</v>
      </c>
      <c r="K300" s="337"/>
      <c r="L300" s="337"/>
      <c r="M300" s="337"/>
      <c r="N300" s="337"/>
      <c r="O300" s="337"/>
      <c r="P300" s="337"/>
      <c r="Q300" s="338" t="s">
        <v>106</v>
      </c>
      <c r="R300" s="338" t="s">
        <v>716</v>
      </c>
      <c r="S300" s="332">
        <f t="shared" si="138"/>
        <v>50</v>
      </c>
      <c r="T300" s="338"/>
      <c r="U300" s="338">
        <v>0</v>
      </c>
      <c r="V300" s="340">
        <v>50</v>
      </c>
      <c r="W300" s="338"/>
      <c r="X300" s="338"/>
      <c r="Y300" s="338"/>
      <c r="Z300" s="338"/>
      <c r="AA300" s="338"/>
      <c r="AB300" s="338"/>
      <c r="AC300" s="338"/>
      <c r="AD300" s="338"/>
      <c r="AE300" s="338"/>
      <c r="AF300" s="338"/>
      <c r="AG300" s="332" t="s">
        <v>85</v>
      </c>
      <c r="AH300" s="332" t="s">
        <v>86</v>
      </c>
      <c r="AI300" s="338"/>
      <c r="AJ300" s="338"/>
      <c r="AK300" s="338"/>
      <c r="AL300" s="341"/>
      <c r="AM300" s="332"/>
      <c r="AN300" s="332"/>
      <c r="AO300" s="340"/>
      <c r="AP300" s="340"/>
      <c r="AQ300" s="474"/>
      <c r="AR300" s="135">
        <f>COUNTIF(B:B,B300)</f>
        <v>1</v>
      </c>
      <c r="AS300" s="135" t="str">
        <f t="shared" si="141"/>
        <v>2022_11_14_a</v>
      </c>
      <c r="AT300" s="136"/>
      <c r="AU300" s="135" t="str">
        <f t="shared" si="142"/>
        <v>2022</v>
      </c>
      <c r="AV300" s="135" t="str">
        <f t="shared" si="143"/>
        <v>11</v>
      </c>
      <c r="AW300" s="135" t="str">
        <f t="shared" si="144"/>
        <v>14</v>
      </c>
      <c r="AX300" s="135">
        <f t="shared" si="145"/>
        <v>44879</v>
      </c>
      <c r="AY300" s="137"/>
      <c r="AZ300" s="138">
        <f t="shared" si="146"/>
        <v>44879</v>
      </c>
      <c r="BA300" s="135" t="b">
        <f t="shared" si="147"/>
        <v>1</v>
      </c>
      <c r="BB300" s="135">
        <f t="shared" si="148"/>
        <v>44879</v>
      </c>
      <c r="BC300" s="135" t="str">
        <f t="shared" si="149"/>
        <v>no</v>
      </c>
      <c r="BD300" s="135" t="b">
        <f t="shared" si="150"/>
        <v>0</v>
      </c>
      <c r="BE300" s="139" t="s">
        <v>59</v>
      </c>
      <c r="BF300" s="350"/>
    </row>
    <row r="301" spans="1:58" s="331" customFormat="1" ht="154">
      <c r="A301" s="338"/>
      <c r="B301" s="336" t="s">
        <v>851</v>
      </c>
      <c r="C301" s="338"/>
      <c r="D301" s="338"/>
      <c r="E301" s="338"/>
      <c r="F301" s="337" t="s">
        <v>713</v>
      </c>
      <c r="G301" s="338" t="s">
        <v>796</v>
      </c>
      <c r="H301" s="339">
        <v>44908</v>
      </c>
      <c r="I301" s="337"/>
      <c r="J301" s="339">
        <f t="shared" si="151"/>
        <v>44922</v>
      </c>
      <c r="K301" s="337"/>
      <c r="L301" s="337"/>
      <c r="M301" s="337"/>
      <c r="N301" s="337"/>
      <c r="O301" s="337"/>
      <c r="P301" s="337"/>
      <c r="Q301" s="338" t="s">
        <v>106</v>
      </c>
      <c r="R301" s="338" t="s">
        <v>716</v>
      </c>
      <c r="S301" s="332">
        <f t="shared" si="138"/>
        <v>50</v>
      </c>
      <c r="T301" s="338"/>
      <c r="U301" s="338">
        <v>0</v>
      </c>
      <c r="V301" s="340">
        <v>50</v>
      </c>
      <c r="W301" s="338"/>
      <c r="X301" s="338"/>
      <c r="Y301" s="338"/>
      <c r="Z301" s="338"/>
      <c r="AA301" s="338"/>
      <c r="AB301" s="338"/>
      <c r="AC301" s="338"/>
      <c r="AD301" s="338"/>
      <c r="AE301" s="338"/>
      <c r="AF301" s="338"/>
      <c r="AG301" s="332" t="s">
        <v>85</v>
      </c>
      <c r="AH301" s="332" t="s">
        <v>86</v>
      </c>
      <c r="AI301" s="338"/>
      <c r="AJ301" s="338"/>
      <c r="AK301" s="338"/>
      <c r="AL301" s="341"/>
      <c r="AM301" s="332"/>
      <c r="AN301" s="332"/>
      <c r="AO301" s="340"/>
      <c r="AP301" s="340"/>
      <c r="AQ301" s="474"/>
      <c r="AR301" s="135">
        <f>COUNTIF(B:B,B301)</f>
        <v>1</v>
      </c>
      <c r="AS301" s="135" t="str">
        <f t="shared" si="141"/>
        <v>2022_12_13_a</v>
      </c>
      <c r="AT301" s="136"/>
      <c r="AU301" s="135" t="str">
        <f t="shared" si="142"/>
        <v>2022</v>
      </c>
      <c r="AV301" s="135" t="str">
        <f t="shared" si="143"/>
        <v>12</v>
      </c>
      <c r="AW301" s="135" t="str">
        <f t="shared" si="144"/>
        <v>13</v>
      </c>
      <c r="AX301" s="135">
        <f t="shared" si="145"/>
        <v>44908</v>
      </c>
      <c r="AY301" s="137"/>
      <c r="AZ301" s="138">
        <f t="shared" si="146"/>
        <v>44908</v>
      </c>
      <c r="BA301" s="135" t="b">
        <f t="shared" si="147"/>
        <v>1</v>
      </c>
      <c r="BB301" s="135">
        <f t="shared" si="148"/>
        <v>44908</v>
      </c>
      <c r="BC301" s="135" t="str">
        <f t="shared" si="149"/>
        <v>no</v>
      </c>
      <c r="BD301" s="135" t="b">
        <f t="shared" si="150"/>
        <v>0</v>
      </c>
      <c r="BE301" s="139" t="s">
        <v>59</v>
      </c>
      <c r="BF301" s="350"/>
    </row>
    <row r="302" spans="1:58" s="331" customFormat="1" ht="154">
      <c r="A302" s="338"/>
      <c r="B302" s="336" t="s">
        <v>852</v>
      </c>
      <c r="C302" s="338"/>
      <c r="D302" s="338">
        <v>10260677</v>
      </c>
      <c r="E302" s="338"/>
      <c r="F302" s="337" t="s">
        <v>713</v>
      </c>
      <c r="G302" s="338" t="s">
        <v>801</v>
      </c>
      <c r="H302" s="339">
        <v>44579</v>
      </c>
      <c r="I302" s="337"/>
      <c r="J302" s="339">
        <f t="shared" si="151"/>
        <v>44593</v>
      </c>
      <c r="K302" s="337"/>
      <c r="L302" s="337"/>
      <c r="M302" s="337"/>
      <c r="N302" s="337"/>
      <c r="O302" s="337"/>
      <c r="P302" s="337"/>
      <c r="Q302" s="338" t="s">
        <v>49</v>
      </c>
      <c r="R302" s="338" t="s">
        <v>725</v>
      </c>
      <c r="S302" s="332">
        <f t="shared" si="138"/>
        <v>25</v>
      </c>
      <c r="T302" s="338"/>
      <c r="U302" s="338">
        <v>0</v>
      </c>
      <c r="V302" s="340">
        <v>25</v>
      </c>
      <c r="W302" s="338"/>
      <c r="X302" s="338"/>
      <c r="Y302" s="338"/>
      <c r="Z302" s="338"/>
      <c r="AA302" s="338"/>
      <c r="AB302" s="338"/>
      <c r="AC302" s="338"/>
      <c r="AD302" s="338"/>
      <c r="AE302" s="338"/>
      <c r="AF302" s="338"/>
      <c r="AG302" s="332" t="s">
        <v>85</v>
      </c>
      <c r="AH302" s="332" t="s">
        <v>86</v>
      </c>
      <c r="AI302" s="338"/>
      <c r="AJ302" s="338"/>
      <c r="AK302" s="338"/>
      <c r="AL302" s="341"/>
      <c r="AM302" s="332"/>
      <c r="AN302" s="332"/>
      <c r="AO302" s="340"/>
      <c r="AP302" s="340"/>
      <c r="AQ302" s="474"/>
      <c r="AR302" s="135">
        <f>COUNTIF(B:B,B302)</f>
        <v>1</v>
      </c>
      <c r="AS302" s="135" t="str">
        <f t="shared" si="141"/>
        <v>2022_01_18_a</v>
      </c>
      <c r="AT302" s="136"/>
      <c r="AU302" s="135" t="str">
        <f t="shared" si="142"/>
        <v>2022</v>
      </c>
      <c r="AV302" s="135" t="str">
        <f t="shared" si="143"/>
        <v>01</v>
      </c>
      <c r="AW302" s="135" t="str">
        <f t="shared" si="144"/>
        <v>18</v>
      </c>
      <c r="AX302" s="135">
        <f t="shared" si="145"/>
        <v>44579</v>
      </c>
      <c r="AY302" s="137"/>
      <c r="AZ302" s="138">
        <f t="shared" si="146"/>
        <v>44579</v>
      </c>
      <c r="BA302" s="135" t="b">
        <f t="shared" si="147"/>
        <v>1</v>
      </c>
      <c r="BB302" s="135">
        <f t="shared" si="148"/>
        <v>44579</v>
      </c>
      <c r="BC302" s="135" t="str">
        <f t="shared" si="149"/>
        <v>no</v>
      </c>
      <c r="BD302" s="135" t="b">
        <f t="shared" si="150"/>
        <v>0</v>
      </c>
      <c r="BE302" s="139" t="s">
        <v>59</v>
      </c>
      <c r="BF302" s="350"/>
    </row>
    <row r="303" spans="1:58" s="331" customFormat="1" ht="154">
      <c r="A303" s="338"/>
      <c r="B303" s="336" t="s">
        <v>853</v>
      </c>
      <c r="C303" s="338"/>
      <c r="D303" s="338">
        <v>10260680</v>
      </c>
      <c r="E303" s="338"/>
      <c r="F303" s="337" t="s">
        <v>713</v>
      </c>
      <c r="G303" s="338" t="s">
        <v>803</v>
      </c>
      <c r="H303" s="339">
        <v>44607</v>
      </c>
      <c r="I303" s="337"/>
      <c r="J303" s="339">
        <f t="shared" si="151"/>
        <v>44621</v>
      </c>
      <c r="K303" s="337"/>
      <c r="L303" s="337"/>
      <c r="M303" s="337"/>
      <c r="N303" s="337"/>
      <c r="O303" s="337"/>
      <c r="P303" s="337"/>
      <c r="Q303" s="338" t="s">
        <v>49</v>
      </c>
      <c r="R303" s="338" t="s">
        <v>725</v>
      </c>
      <c r="S303" s="332">
        <f t="shared" si="138"/>
        <v>25</v>
      </c>
      <c r="T303" s="338"/>
      <c r="U303" s="338">
        <v>0</v>
      </c>
      <c r="V303" s="340">
        <v>25</v>
      </c>
      <c r="W303" s="338"/>
      <c r="X303" s="338"/>
      <c r="Y303" s="338"/>
      <c r="Z303" s="338"/>
      <c r="AA303" s="338"/>
      <c r="AB303" s="338"/>
      <c r="AC303" s="338"/>
      <c r="AD303" s="338"/>
      <c r="AE303" s="338"/>
      <c r="AF303" s="338"/>
      <c r="AG303" s="332" t="s">
        <v>85</v>
      </c>
      <c r="AH303" s="332" t="s">
        <v>86</v>
      </c>
      <c r="AI303" s="338"/>
      <c r="AJ303" s="338"/>
      <c r="AK303" s="338"/>
      <c r="AL303" s="341"/>
      <c r="AM303" s="332"/>
      <c r="AN303" s="332"/>
      <c r="AO303" s="340"/>
      <c r="AP303" s="340"/>
      <c r="AQ303" s="474"/>
      <c r="AR303" s="135">
        <f>COUNTIF(B:B,B303)</f>
        <v>1</v>
      </c>
      <c r="AS303" s="135" t="str">
        <f t="shared" si="141"/>
        <v>2022_02_15_a</v>
      </c>
      <c r="AT303" s="136"/>
      <c r="AU303" s="135" t="str">
        <f t="shared" si="142"/>
        <v>2022</v>
      </c>
      <c r="AV303" s="135" t="str">
        <f t="shared" si="143"/>
        <v>02</v>
      </c>
      <c r="AW303" s="135" t="str">
        <f t="shared" si="144"/>
        <v>15</v>
      </c>
      <c r="AX303" s="135">
        <f t="shared" si="145"/>
        <v>44607</v>
      </c>
      <c r="AY303" s="137"/>
      <c r="AZ303" s="138">
        <f t="shared" si="146"/>
        <v>44607</v>
      </c>
      <c r="BA303" s="135" t="b">
        <f t="shared" si="147"/>
        <v>1</v>
      </c>
      <c r="BB303" s="135">
        <f t="shared" si="148"/>
        <v>44607</v>
      </c>
      <c r="BC303" s="135" t="str">
        <f t="shared" si="149"/>
        <v>no</v>
      </c>
      <c r="BD303" s="135" t="b">
        <f t="shared" si="150"/>
        <v>0</v>
      </c>
      <c r="BE303" s="139" t="s">
        <v>59</v>
      </c>
      <c r="BF303" s="350"/>
    </row>
    <row r="304" spans="1:58" s="331" customFormat="1" ht="154">
      <c r="A304" s="338"/>
      <c r="B304" s="336" t="s">
        <v>854</v>
      </c>
      <c r="C304" s="338"/>
      <c r="D304" s="338">
        <v>10260681</v>
      </c>
      <c r="E304" s="338"/>
      <c r="F304" s="337" t="s">
        <v>713</v>
      </c>
      <c r="G304" s="338" t="s">
        <v>806</v>
      </c>
      <c r="H304" s="339">
        <v>44635</v>
      </c>
      <c r="I304" s="337"/>
      <c r="J304" s="339">
        <f t="shared" si="151"/>
        <v>44649</v>
      </c>
      <c r="K304" s="337"/>
      <c r="L304" s="337"/>
      <c r="M304" s="337"/>
      <c r="N304" s="337"/>
      <c r="O304" s="337"/>
      <c r="P304" s="337"/>
      <c r="Q304" s="338" t="s">
        <v>49</v>
      </c>
      <c r="R304" s="338" t="s">
        <v>725</v>
      </c>
      <c r="S304" s="332">
        <f t="shared" ref="S304:S358" si="152">U304+V304</f>
        <v>25</v>
      </c>
      <c r="T304" s="338"/>
      <c r="U304" s="338">
        <v>0</v>
      </c>
      <c r="V304" s="340">
        <v>25</v>
      </c>
      <c r="W304" s="338"/>
      <c r="X304" s="338"/>
      <c r="Y304" s="338"/>
      <c r="Z304" s="338"/>
      <c r="AA304" s="338"/>
      <c r="AB304" s="338"/>
      <c r="AC304" s="338"/>
      <c r="AD304" s="338"/>
      <c r="AE304" s="338"/>
      <c r="AF304" s="338"/>
      <c r="AG304" s="332" t="s">
        <v>85</v>
      </c>
      <c r="AH304" s="332" t="s">
        <v>86</v>
      </c>
      <c r="AI304" s="338"/>
      <c r="AJ304" s="338"/>
      <c r="AK304" s="338"/>
      <c r="AL304" s="341"/>
      <c r="AM304" s="332"/>
      <c r="AN304" s="332"/>
      <c r="AO304" s="340"/>
      <c r="AP304" s="340"/>
      <c r="AQ304" s="474"/>
      <c r="AR304" s="135">
        <f>COUNTIF(B:B,B304)</f>
        <v>1</v>
      </c>
      <c r="AS304" s="135" t="str">
        <f t="shared" si="141"/>
        <v>2022_03_15_a</v>
      </c>
      <c r="AT304" s="136"/>
      <c r="AU304" s="135" t="str">
        <f t="shared" si="142"/>
        <v>2022</v>
      </c>
      <c r="AV304" s="135" t="str">
        <f t="shared" si="143"/>
        <v>03</v>
      </c>
      <c r="AW304" s="135" t="str">
        <f t="shared" si="144"/>
        <v>15</v>
      </c>
      <c r="AX304" s="135">
        <f t="shared" si="145"/>
        <v>44635</v>
      </c>
      <c r="AY304" s="137"/>
      <c r="AZ304" s="138">
        <f t="shared" si="146"/>
        <v>44635</v>
      </c>
      <c r="BA304" s="135" t="b">
        <f t="shared" si="147"/>
        <v>1</v>
      </c>
      <c r="BB304" s="135">
        <f t="shared" si="148"/>
        <v>44635</v>
      </c>
      <c r="BC304" s="135" t="str">
        <f t="shared" si="149"/>
        <v>no</v>
      </c>
      <c r="BD304" s="135" t="b">
        <f t="shared" si="150"/>
        <v>0</v>
      </c>
      <c r="BE304" s="139" t="s">
        <v>59</v>
      </c>
      <c r="BF304" s="350"/>
    </row>
    <row r="305" spans="1:58" s="331" customFormat="1" ht="154">
      <c r="A305" s="338"/>
      <c r="B305" s="336" t="s">
        <v>855</v>
      </c>
      <c r="C305" s="338"/>
      <c r="D305" s="338" t="s">
        <v>856</v>
      </c>
      <c r="E305" s="338"/>
      <c r="F305" s="337" t="s">
        <v>713</v>
      </c>
      <c r="G305" s="338" t="s">
        <v>809</v>
      </c>
      <c r="H305" s="339">
        <v>44663</v>
      </c>
      <c r="I305" s="337"/>
      <c r="J305" s="339">
        <f t="shared" si="151"/>
        <v>44677</v>
      </c>
      <c r="K305" s="337"/>
      <c r="L305" s="337"/>
      <c r="M305" s="337"/>
      <c r="N305" s="337"/>
      <c r="O305" s="337"/>
      <c r="P305" s="337"/>
      <c r="Q305" s="338" t="s">
        <v>82</v>
      </c>
      <c r="R305" s="338" t="s">
        <v>725</v>
      </c>
      <c r="S305" s="332">
        <f t="shared" si="152"/>
        <v>25</v>
      </c>
      <c r="T305" s="338"/>
      <c r="U305" s="338">
        <v>0</v>
      </c>
      <c r="V305" s="340">
        <v>25</v>
      </c>
      <c r="W305" s="338"/>
      <c r="X305" s="338"/>
      <c r="Y305" s="338"/>
      <c r="Z305" s="338"/>
      <c r="AA305" s="338"/>
      <c r="AB305" s="338"/>
      <c r="AC305" s="338"/>
      <c r="AD305" s="338"/>
      <c r="AE305" s="338"/>
      <c r="AF305" s="338"/>
      <c r="AG305" s="332" t="s">
        <v>85</v>
      </c>
      <c r="AH305" s="332" t="s">
        <v>86</v>
      </c>
      <c r="AI305" s="338"/>
      <c r="AJ305" s="338"/>
      <c r="AK305" s="338"/>
      <c r="AL305" s="341"/>
      <c r="AM305" s="332"/>
      <c r="AN305" s="332"/>
      <c r="AO305" s="340"/>
      <c r="AP305" s="340"/>
      <c r="AQ305" s="474"/>
      <c r="AR305" s="135">
        <f>COUNTIF(B:B,B305)</f>
        <v>1</v>
      </c>
      <c r="AS305" s="135" t="str">
        <f t="shared" si="141"/>
        <v>2022_04_12_a</v>
      </c>
      <c r="AT305" s="136"/>
      <c r="AU305" s="135" t="str">
        <f t="shared" si="142"/>
        <v>2022</v>
      </c>
      <c r="AV305" s="135" t="str">
        <f t="shared" si="143"/>
        <v>04</v>
      </c>
      <c r="AW305" s="135" t="str">
        <f t="shared" si="144"/>
        <v>12</v>
      </c>
      <c r="AX305" s="135">
        <f t="shared" si="145"/>
        <v>44663</v>
      </c>
      <c r="AY305" s="137"/>
      <c r="AZ305" s="138">
        <f t="shared" si="146"/>
        <v>44663</v>
      </c>
      <c r="BA305" s="135" t="b">
        <f t="shared" si="147"/>
        <v>1</v>
      </c>
      <c r="BB305" s="135">
        <f t="shared" si="148"/>
        <v>44663</v>
      </c>
      <c r="BC305" s="135" t="str">
        <f t="shared" si="149"/>
        <v>no</v>
      </c>
      <c r="BD305" s="135" t="b">
        <f t="shared" si="150"/>
        <v>0</v>
      </c>
      <c r="BE305" s="139" t="s">
        <v>59</v>
      </c>
      <c r="BF305" s="350"/>
    </row>
    <row r="306" spans="1:58" s="331" customFormat="1" ht="154">
      <c r="A306" s="338"/>
      <c r="B306" s="336" t="s">
        <v>857</v>
      </c>
      <c r="C306" s="338"/>
      <c r="D306" s="338">
        <v>10271153</v>
      </c>
      <c r="E306" s="338"/>
      <c r="F306" s="337" t="s">
        <v>713</v>
      </c>
      <c r="G306" s="338" t="s">
        <v>813</v>
      </c>
      <c r="H306" s="339">
        <v>44698</v>
      </c>
      <c r="I306" s="337"/>
      <c r="J306" s="339">
        <f t="shared" si="151"/>
        <v>44712</v>
      </c>
      <c r="K306" s="337"/>
      <c r="L306" s="337"/>
      <c r="M306" s="337"/>
      <c r="N306" s="337"/>
      <c r="O306" s="337"/>
      <c r="P306" s="337"/>
      <c r="Q306" s="338" t="s">
        <v>82</v>
      </c>
      <c r="R306" s="338" t="s">
        <v>725</v>
      </c>
      <c r="S306" s="332">
        <f t="shared" si="152"/>
        <v>25</v>
      </c>
      <c r="T306" s="338"/>
      <c r="U306" s="338">
        <v>0</v>
      </c>
      <c r="V306" s="340">
        <v>25</v>
      </c>
      <c r="W306" s="338"/>
      <c r="X306" s="338"/>
      <c r="Y306" s="338"/>
      <c r="Z306" s="338"/>
      <c r="AA306" s="338"/>
      <c r="AB306" s="338"/>
      <c r="AC306" s="338"/>
      <c r="AD306" s="338"/>
      <c r="AE306" s="338"/>
      <c r="AF306" s="338"/>
      <c r="AG306" s="332" t="s">
        <v>85</v>
      </c>
      <c r="AH306" s="332" t="s">
        <v>86</v>
      </c>
      <c r="AI306" s="338"/>
      <c r="AJ306" s="338"/>
      <c r="AK306" s="338"/>
      <c r="AL306" s="341"/>
      <c r="AM306" s="332"/>
      <c r="AN306" s="332"/>
      <c r="AO306" s="340"/>
      <c r="AP306" s="340"/>
      <c r="AQ306" s="474"/>
      <c r="AR306" s="135">
        <f>COUNTIF(B:B,B306)</f>
        <v>1</v>
      </c>
      <c r="AS306" s="135" t="str">
        <f t="shared" si="141"/>
        <v>2022_05_17_a</v>
      </c>
      <c r="AT306" s="136"/>
      <c r="AU306" s="135" t="str">
        <f t="shared" si="142"/>
        <v>2022</v>
      </c>
      <c r="AV306" s="135" t="str">
        <f t="shared" si="143"/>
        <v>05</v>
      </c>
      <c r="AW306" s="135" t="str">
        <f t="shared" si="144"/>
        <v>17</v>
      </c>
      <c r="AX306" s="135">
        <f t="shared" si="145"/>
        <v>44698</v>
      </c>
      <c r="AY306" s="137"/>
      <c r="AZ306" s="138">
        <f t="shared" si="146"/>
        <v>44698</v>
      </c>
      <c r="BA306" s="135" t="b">
        <f t="shared" si="147"/>
        <v>1</v>
      </c>
      <c r="BB306" s="135">
        <f t="shared" si="148"/>
        <v>44698</v>
      </c>
      <c r="BC306" s="135" t="str">
        <f t="shared" si="149"/>
        <v>no</v>
      </c>
      <c r="BD306" s="135" t="b">
        <f t="shared" si="150"/>
        <v>0</v>
      </c>
      <c r="BE306" s="139" t="s">
        <v>59</v>
      </c>
      <c r="BF306" s="350"/>
    </row>
    <row r="307" spans="1:58" s="331" customFormat="1" ht="154">
      <c r="A307" s="338"/>
      <c r="B307" s="336" t="s">
        <v>858</v>
      </c>
      <c r="C307" s="338"/>
      <c r="D307" s="338">
        <v>10271163</v>
      </c>
      <c r="E307" s="338"/>
      <c r="F307" s="337" t="s">
        <v>713</v>
      </c>
      <c r="G307" s="338" t="s">
        <v>817</v>
      </c>
      <c r="H307" s="339">
        <v>44726</v>
      </c>
      <c r="I307" s="337"/>
      <c r="J307" s="339">
        <f t="shared" si="151"/>
        <v>44740</v>
      </c>
      <c r="K307" s="337"/>
      <c r="L307" s="337"/>
      <c r="M307" s="337"/>
      <c r="N307" s="337"/>
      <c r="O307" s="337"/>
      <c r="P307" s="337"/>
      <c r="Q307" s="338" t="s">
        <v>82</v>
      </c>
      <c r="R307" s="338" t="s">
        <v>725</v>
      </c>
      <c r="S307" s="332">
        <f t="shared" si="152"/>
        <v>25</v>
      </c>
      <c r="T307" s="338"/>
      <c r="U307" s="338">
        <v>0</v>
      </c>
      <c r="V307" s="340">
        <v>25</v>
      </c>
      <c r="W307" s="338"/>
      <c r="X307" s="338"/>
      <c r="Y307" s="338"/>
      <c r="Z307" s="338"/>
      <c r="AA307" s="338"/>
      <c r="AB307" s="338"/>
      <c r="AC307" s="338"/>
      <c r="AD307" s="338"/>
      <c r="AE307" s="338"/>
      <c r="AF307" s="338"/>
      <c r="AG307" s="332" t="s">
        <v>85</v>
      </c>
      <c r="AH307" s="332" t="s">
        <v>86</v>
      </c>
      <c r="AI307" s="338"/>
      <c r="AJ307" s="338"/>
      <c r="AK307" s="338"/>
      <c r="AL307" s="341"/>
      <c r="AM307" s="332"/>
      <c r="AN307" s="332"/>
      <c r="AO307" s="340"/>
      <c r="AP307" s="340"/>
      <c r="AQ307" s="474"/>
      <c r="AR307" s="135">
        <f>COUNTIF(B:B,B307)</f>
        <v>1</v>
      </c>
      <c r="AS307" s="135" t="str">
        <f t="shared" si="141"/>
        <v>2022_06_14_a</v>
      </c>
      <c r="AT307" s="136"/>
      <c r="AU307" s="135" t="str">
        <f t="shared" si="142"/>
        <v>2022</v>
      </c>
      <c r="AV307" s="135" t="str">
        <f t="shared" si="143"/>
        <v>06</v>
      </c>
      <c r="AW307" s="135" t="str">
        <f t="shared" si="144"/>
        <v>14</v>
      </c>
      <c r="AX307" s="135">
        <f t="shared" si="145"/>
        <v>44726</v>
      </c>
      <c r="AY307" s="137"/>
      <c r="AZ307" s="138">
        <f t="shared" si="146"/>
        <v>44726</v>
      </c>
      <c r="BA307" s="135" t="b">
        <f t="shared" si="147"/>
        <v>1</v>
      </c>
      <c r="BB307" s="135">
        <f t="shared" si="148"/>
        <v>44726</v>
      </c>
      <c r="BC307" s="135" t="str">
        <f t="shared" si="149"/>
        <v>no</v>
      </c>
      <c r="BD307" s="135" t="b">
        <f t="shared" si="150"/>
        <v>0</v>
      </c>
      <c r="BE307" s="139" t="s">
        <v>59</v>
      </c>
      <c r="BF307" s="350"/>
    </row>
    <row r="308" spans="1:58" s="331" customFormat="1" ht="154">
      <c r="A308" s="338"/>
      <c r="B308" s="336" t="s">
        <v>859</v>
      </c>
      <c r="C308" s="338"/>
      <c r="D308" s="338" t="s">
        <v>860</v>
      </c>
      <c r="E308" s="338"/>
      <c r="F308" s="337" t="s">
        <v>713</v>
      </c>
      <c r="G308" s="338" t="s">
        <v>822</v>
      </c>
      <c r="H308" s="339">
        <v>44754</v>
      </c>
      <c r="I308" s="337"/>
      <c r="J308" s="339">
        <f t="shared" si="151"/>
        <v>44768</v>
      </c>
      <c r="K308" s="337"/>
      <c r="L308" s="337"/>
      <c r="M308" s="337"/>
      <c r="N308" s="337"/>
      <c r="O308" s="337"/>
      <c r="P308" s="337"/>
      <c r="Q308" s="338" t="s">
        <v>93</v>
      </c>
      <c r="R308" s="338" t="s">
        <v>725</v>
      </c>
      <c r="S308" s="332">
        <f t="shared" si="152"/>
        <v>25</v>
      </c>
      <c r="T308" s="338"/>
      <c r="U308" s="338">
        <v>0</v>
      </c>
      <c r="V308" s="340">
        <v>25</v>
      </c>
      <c r="W308" s="338"/>
      <c r="X308" s="338"/>
      <c r="Y308" s="338"/>
      <c r="Z308" s="338"/>
      <c r="AA308" s="338"/>
      <c r="AB308" s="338"/>
      <c r="AC308" s="338"/>
      <c r="AD308" s="338"/>
      <c r="AE308" s="338"/>
      <c r="AF308" s="338"/>
      <c r="AG308" s="332" t="s">
        <v>85</v>
      </c>
      <c r="AH308" s="332" t="s">
        <v>86</v>
      </c>
      <c r="AI308" s="338"/>
      <c r="AJ308" s="338"/>
      <c r="AK308" s="338"/>
      <c r="AL308" s="341"/>
      <c r="AM308" s="332"/>
      <c r="AN308" s="332"/>
      <c r="AO308" s="340"/>
      <c r="AP308" s="340"/>
      <c r="AQ308" s="474"/>
      <c r="AR308" s="135">
        <f>COUNTIF(B:B,B308)</f>
        <v>1</v>
      </c>
      <c r="AS308" s="135" t="str">
        <f t="shared" si="141"/>
        <v>2022_07_12_a</v>
      </c>
      <c r="AT308" s="136"/>
      <c r="AU308" s="135" t="str">
        <f t="shared" si="142"/>
        <v>2022</v>
      </c>
      <c r="AV308" s="135" t="str">
        <f t="shared" si="143"/>
        <v>07</v>
      </c>
      <c r="AW308" s="135" t="str">
        <f t="shared" si="144"/>
        <v>12</v>
      </c>
      <c r="AX308" s="135">
        <f t="shared" si="145"/>
        <v>44754</v>
      </c>
      <c r="AY308" s="137"/>
      <c r="AZ308" s="138">
        <f t="shared" si="146"/>
        <v>44754</v>
      </c>
      <c r="BA308" s="135" t="b">
        <f t="shared" si="147"/>
        <v>1</v>
      </c>
      <c r="BB308" s="135">
        <f t="shared" si="148"/>
        <v>44754</v>
      </c>
      <c r="BC308" s="135" t="str">
        <f t="shared" si="149"/>
        <v>no</v>
      </c>
      <c r="BD308" s="135" t="b">
        <f t="shared" si="150"/>
        <v>0</v>
      </c>
      <c r="BE308" s="139" t="s">
        <v>59</v>
      </c>
      <c r="BF308" s="350"/>
    </row>
    <row r="309" spans="1:58" s="331" customFormat="1" ht="154">
      <c r="A309" s="338"/>
      <c r="B309" s="336" t="s">
        <v>861</v>
      </c>
      <c r="C309" s="338"/>
      <c r="D309" s="338"/>
      <c r="E309" s="338"/>
      <c r="F309" s="337" t="s">
        <v>713</v>
      </c>
      <c r="G309" s="338" t="s">
        <v>824</v>
      </c>
      <c r="H309" s="339">
        <v>44788</v>
      </c>
      <c r="I309" s="337"/>
      <c r="J309" s="339">
        <f t="shared" si="151"/>
        <v>44802</v>
      </c>
      <c r="K309" s="337"/>
      <c r="L309" s="337"/>
      <c r="M309" s="337"/>
      <c r="N309" s="337"/>
      <c r="O309" s="337"/>
      <c r="P309" s="337"/>
      <c r="Q309" s="338" t="s">
        <v>93</v>
      </c>
      <c r="R309" s="338" t="s">
        <v>725</v>
      </c>
      <c r="S309" s="332">
        <f t="shared" si="152"/>
        <v>25</v>
      </c>
      <c r="T309" s="338"/>
      <c r="U309" s="338">
        <v>0</v>
      </c>
      <c r="V309" s="340">
        <v>25</v>
      </c>
      <c r="W309" s="338"/>
      <c r="X309" s="338"/>
      <c r="Y309" s="338"/>
      <c r="Z309" s="338"/>
      <c r="AA309" s="338"/>
      <c r="AB309" s="338"/>
      <c r="AC309" s="338"/>
      <c r="AD309" s="338"/>
      <c r="AE309" s="338"/>
      <c r="AF309" s="338"/>
      <c r="AG309" s="332" t="s">
        <v>85</v>
      </c>
      <c r="AH309" s="332" t="s">
        <v>86</v>
      </c>
      <c r="AI309" s="338"/>
      <c r="AJ309" s="338"/>
      <c r="AK309" s="338"/>
      <c r="AL309" s="341"/>
      <c r="AM309" s="332"/>
      <c r="AN309" s="332"/>
      <c r="AO309" s="340"/>
      <c r="AP309" s="340"/>
      <c r="AQ309" s="474"/>
      <c r="AR309" s="135">
        <f>COUNTIF(B:B,B309)</f>
        <v>1</v>
      </c>
      <c r="AS309" s="135" t="str">
        <f t="shared" si="141"/>
        <v>2022_08_15_a</v>
      </c>
      <c r="AT309" s="136"/>
      <c r="AU309" s="135" t="str">
        <f t="shared" si="142"/>
        <v>2022</v>
      </c>
      <c r="AV309" s="135" t="str">
        <f t="shared" si="143"/>
        <v>08</v>
      </c>
      <c r="AW309" s="135" t="str">
        <f t="shared" si="144"/>
        <v>15</v>
      </c>
      <c r="AX309" s="135">
        <f t="shared" si="145"/>
        <v>44788</v>
      </c>
      <c r="AY309" s="137"/>
      <c r="AZ309" s="138">
        <f t="shared" si="146"/>
        <v>44788</v>
      </c>
      <c r="BA309" s="135" t="b">
        <f t="shared" si="147"/>
        <v>1</v>
      </c>
      <c r="BB309" s="135">
        <f t="shared" si="148"/>
        <v>44788</v>
      </c>
      <c r="BC309" s="135" t="str">
        <f t="shared" si="149"/>
        <v>no</v>
      </c>
      <c r="BD309" s="135" t="b">
        <f t="shared" si="150"/>
        <v>0</v>
      </c>
      <c r="BE309" s="139" t="s">
        <v>59</v>
      </c>
      <c r="BF309" s="350"/>
    </row>
    <row r="310" spans="1:58" s="331" customFormat="1" ht="154">
      <c r="A310" s="338"/>
      <c r="B310" s="336" t="s">
        <v>862</v>
      </c>
      <c r="C310" s="338"/>
      <c r="D310" s="338"/>
      <c r="E310" s="338"/>
      <c r="F310" s="337" t="s">
        <v>713</v>
      </c>
      <c r="G310" s="338" t="s">
        <v>829</v>
      </c>
      <c r="H310" s="339">
        <v>44817</v>
      </c>
      <c r="I310" s="337"/>
      <c r="J310" s="339">
        <f t="shared" si="151"/>
        <v>44831</v>
      </c>
      <c r="K310" s="337"/>
      <c r="L310" s="337"/>
      <c r="M310" s="337"/>
      <c r="N310" s="337"/>
      <c r="O310" s="337"/>
      <c r="P310" s="337"/>
      <c r="Q310" s="338" t="s">
        <v>93</v>
      </c>
      <c r="R310" s="338" t="s">
        <v>725</v>
      </c>
      <c r="S310" s="332">
        <f t="shared" si="152"/>
        <v>25</v>
      </c>
      <c r="T310" s="338"/>
      <c r="U310" s="338">
        <v>0</v>
      </c>
      <c r="V310" s="340">
        <v>25</v>
      </c>
      <c r="W310" s="338"/>
      <c r="X310" s="338"/>
      <c r="Y310" s="338"/>
      <c r="Z310" s="338"/>
      <c r="AA310" s="338"/>
      <c r="AB310" s="338"/>
      <c r="AC310" s="338"/>
      <c r="AD310" s="338"/>
      <c r="AE310" s="338"/>
      <c r="AF310" s="338"/>
      <c r="AG310" s="332" t="s">
        <v>85</v>
      </c>
      <c r="AH310" s="332" t="s">
        <v>86</v>
      </c>
      <c r="AI310" s="338"/>
      <c r="AJ310" s="338"/>
      <c r="AK310" s="338"/>
      <c r="AL310" s="341"/>
      <c r="AM310" s="332"/>
      <c r="AN310" s="332"/>
      <c r="AO310" s="340"/>
      <c r="AP310" s="340"/>
      <c r="AQ310" s="474"/>
      <c r="AR310" s="135">
        <f>COUNTIF(B:B,B310)</f>
        <v>1</v>
      </c>
      <c r="AS310" s="135" t="str">
        <f t="shared" si="141"/>
        <v>2022_09_13_a</v>
      </c>
      <c r="AT310" s="136"/>
      <c r="AU310" s="135" t="str">
        <f t="shared" si="142"/>
        <v>2022</v>
      </c>
      <c r="AV310" s="135" t="str">
        <f t="shared" si="143"/>
        <v>09</v>
      </c>
      <c r="AW310" s="135" t="str">
        <f t="shared" si="144"/>
        <v>13</v>
      </c>
      <c r="AX310" s="135">
        <f t="shared" si="145"/>
        <v>44817</v>
      </c>
      <c r="AY310" s="137"/>
      <c r="AZ310" s="138">
        <f t="shared" si="146"/>
        <v>44817</v>
      </c>
      <c r="BA310" s="135" t="b">
        <f t="shared" si="147"/>
        <v>1</v>
      </c>
      <c r="BB310" s="135">
        <f t="shared" si="148"/>
        <v>44817</v>
      </c>
      <c r="BC310" s="135" t="str">
        <f t="shared" si="149"/>
        <v>no</v>
      </c>
      <c r="BD310" s="135" t="b">
        <f t="shared" si="150"/>
        <v>0</v>
      </c>
      <c r="BE310" s="139" t="s">
        <v>59</v>
      </c>
      <c r="BF310" s="350"/>
    </row>
    <row r="311" spans="1:58" s="331" customFormat="1" ht="154">
      <c r="A311" s="338"/>
      <c r="B311" s="336" t="s">
        <v>863</v>
      </c>
      <c r="C311" s="338"/>
      <c r="D311" s="338"/>
      <c r="E311" s="338"/>
      <c r="F311" s="337" t="s">
        <v>713</v>
      </c>
      <c r="G311" s="338" t="s">
        <v>832</v>
      </c>
      <c r="H311" s="339">
        <v>44852</v>
      </c>
      <c r="I311" s="337"/>
      <c r="J311" s="339">
        <f t="shared" si="151"/>
        <v>44866</v>
      </c>
      <c r="K311" s="337"/>
      <c r="L311" s="337"/>
      <c r="M311" s="337"/>
      <c r="N311" s="337"/>
      <c r="O311" s="337"/>
      <c r="P311" s="337"/>
      <c r="Q311" s="338" t="s">
        <v>106</v>
      </c>
      <c r="R311" s="338" t="s">
        <v>725</v>
      </c>
      <c r="S311" s="332">
        <f t="shared" si="152"/>
        <v>25</v>
      </c>
      <c r="T311" s="338"/>
      <c r="U311" s="338">
        <v>0</v>
      </c>
      <c r="V311" s="340">
        <v>25</v>
      </c>
      <c r="W311" s="338"/>
      <c r="X311" s="338"/>
      <c r="Y311" s="338"/>
      <c r="Z311" s="338"/>
      <c r="AA311" s="338"/>
      <c r="AB311" s="338"/>
      <c r="AC311" s="338"/>
      <c r="AD311" s="338"/>
      <c r="AE311" s="338"/>
      <c r="AF311" s="338"/>
      <c r="AG311" s="332" t="s">
        <v>85</v>
      </c>
      <c r="AH311" s="332" t="s">
        <v>86</v>
      </c>
      <c r="AI311" s="338"/>
      <c r="AJ311" s="338"/>
      <c r="AK311" s="338"/>
      <c r="AL311" s="341"/>
      <c r="AM311" s="332"/>
      <c r="AN311" s="332"/>
      <c r="AO311" s="340"/>
      <c r="AP311" s="340"/>
      <c r="AQ311" s="474"/>
      <c r="AR311" s="135">
        <f>COUNTIF(B:B,B311)</f>
        <v>1</v>
      </c>
      <c r="AS311" s="135" t="str">
        <f t="shared" si="141"/>
        <v>2022_10_18_a</v>
      </c>
      <c r="AT311" s="136"/>
      <c r="AU311" s="135" t="str">
        <f t="shared" si="142"/>
        <v>2022</v>
      </c>
      <c r="AV311" s="135" t="str">
        <f t="shared" si="143"/>
        <v>10</v>
      </c>
      <c r="AW311" s="135" t="str">
        <f t="shared" si="144"/>
        <v>18</v>
      </c>
      <c r="AX311" s="135">
        <f t="shared" si="145"/>
        <v>44852</v>
      </c>
      <c r="AY311" s="137"/>
      <c r="AZ311" s="138">
        <f t="shared" si="146"/>
        <v>44852</v>
      </c>
      <c r="BA311" s="135" t="b">
        <f t="shared" si="147"/>
        <v>1</v>
      </c>
      <c r="BB311" s="135">
        <f t="shared" si="148"/>
        <v>44852</v>
      </c>
      <c r="BC311" s="135" t="str">
        <f t="shared" si="149"/>
        <v>no</v>
      </c>
      <c r="BD311" s="135" t="b">
        <f t="shared" si="150"/>
        <v>0</v>
      </c>
      <c r="BE311" s="139" t="s">
        <v>59</v>
      </c>
      <c r="BF311" s="350"/>
    </row>
    <row r="312" spans="1:58" s="331" customFormat="1" ht="154">
      <c r="A312" s="338"/>
      <c r="B312" s="336" t="s">
        <v>864</v>
      </c>
      <c r="C312" s="338"/>
      <c r="D312" s="338"/>
      <c r="E312" s="338"/>
      <c r="F312" s="337" t="s">
        <v>713</v>
      </c>
      <c r="G312" s="338" t="s">
        <v>834</v>
      </c>
      <c r="H312" s="339">
        <v>44879</v>
      </c>
      <c r="I312" s="337"/>
      <c r="J312" s="339">
        <f t="shared" si="151"/>
        <v>44893</v>
      </c>
      <c r="K312" s="337"/>
      <c r="L312" s="337"/>
      <c r="M312" s="337"/>
      <c r="N312" s="337"/>
      <c r="O312" s="337"/>
      <c r="P312" s="337"/>
      <c r="Q312" s="338" t="s">
        <v>106</v>
      </c>
      <c r="R312" s="338" t="s">
        <v>725</v>
      </c>
      <c r="S312" s="332">
        <f t="shared" si="152"/>
        <v>25</v>
      </c>
      <c r="T312" s="338"/>
      <c r="U312" s="338">
        <v>0</v>
      </c>
      <c r="V312" s="340">
        <v>25</v>
      </c>
      <c r="W312" s="338"/>
      <c r="X312" s="338"/>
      <c r="Y312" s="338"/>
      <c r="Z312" s="338"/>
      <c r="AA312" s="338"/>
      <c r="AB312" s="338"/>
      <c r="AC312" s="338"/>
      <c r="AD312" s="338"/>
      <c r="AE312" s="338"/>
      <c r="AF312" s="338"/>
      <c r="AG312" s="332" t="s">
        <v>85</v>
      </c>
      <c r="AH312" s="332" t="s">
        <v>86</v>
      </c>
      <c r="AI312" s="338"/>
      <c r="AJ312" s="338"/>
      <c r="AK312" s="338"/>
      <c r="AL312" s="341"/>
      <c r="AM312" s="332"/>
      <c r="AN312" s="332"/>
      <c r="AO312" s="340"/>
      <c r="AP312" s="340"/>
      <c r="AQ312" s="474"/>
      <c r="AR312" s="135">
        <f>COUNTIF(B:B,B312)</f>
        <v>1</v>
      </c>
      <c r="AS312" s="135" t="str">
        <f t="shared" si="141"/>
        <v>2022_11_14_a</v>
      </c>
      <c r="AT312" s="136"/>
      <c r="AU312" s="135" t="str">
        <f t="shared" si="142"/>
        <v>2022</v>
      </c>
      <c r="AV312" s="135" t="str">
        <f t="shared" si="143"/>
        <v>11</v>
      </c>
      <c r="AW312" s="135" t="str">
        <f t="shared" si="144"/>
        <v>14</v>
      </c>
      <c r="AX312" s="135">
        <f t="shared" si="145"/>
        <v>44879</v>
      </c>
      <c r="AY312" s="137"/>
      <c r="AZ312" s="138">
        <f t="shared" si="146"/>
        <v>44879</v>
      </c>
      <c r="BA312" s="135" t="b">
        <f t="shared" si="147"/>
        <v>1</v>
      </c>
      <c r="BB312" s="135">
        <f t="shared" si="148"/>
        <v>44879</v>
      </c>
      <c r="BC312" s="135" t="str">
        <f t="shared" si="149"/>
        <v>no</v>
      </c>
      <c r="BD312" s="135" t="b">
        <f t="shared" si="150"/>
        <v>0</v>
      </c>
      <c r="BE312" s="139" t="s">
        <v>59</v>
      </c>
      <c r="BF312" s="350"/>
    </row>
    <row r="313" spans="1:58" s="331" customFormat="1" ht="154">
      <c r="A313" s="338"/>
      <c r="B313" s="336" t="s">
        <v>865</v>
      </c>
      <c r="C313" s="338"/>
      <c r="D313" s="338">
        <v>10321666</v>
      </c>
      <c r="E313" s="338"/>
      <c r="F313" s="337" t="s">
        <v>713</v>
      </c>
      <c r="G313" s="338" t="s">
        <v>796</v>
      </c>
      <c r="H313" s="339">
        <v>44908</v>
      </c>
      <c r="I313" s="337"/>
      <c r="J313" s="339">
        <f t="shared" si="151"/>
        <v>44922</v>
      </c>
      <c r="K313" s="337"/>
      <c r="L313" s="337"/>
      <c r="M313" s="337"/>
      <c r="N313" s="337"/>
      <c r="O313" s="337"/>
      <c r="P313" s="337"/>
      <c r="Q313" s="338" t="s">
        <v>106</v>
      </c>
      <c r="R313" s="338" t="s">
        <v>725</v>
      </c>
      <c r="S313" s="332">
        <f t="shared" si="152"/>
        <v>25</v>
      </c>
      <c r="T313" s="338"/>
      <c r="U313" s="338">
        <v>0</v>
      </c>
      <c r="V313" s="340">
        <v>25</v>
      </c>
      <c r="W313" s="338"/>
      <c r="X313" s="338"/>
      <c r="Y313" s="338"/>
      <c r="Z313" s="338"/>
      <c r="AA313" s="338"/>
      <c r="AB313" s="338"/>
      <c r="AC313" s="338"/>
      <c r="AD313" s="338"/>
      <c r="AE313" s="338"/>
      <c r="AF313" s="338"/>
      <c r="AG313" s="332" t="s">
        <v>85</v>
      </c>
      <c r="AH313" s="332" t="s">
        <v>86</v>
      </c>
      <c r="AI313" s="338"/>
      <c r="AJ313" s="338"/>
      <c r="AK313" s="338"/>
      <c r="AL313" s="341"/>
      <c r="AM313" s="332"/>
      <c r="AN313" s="332"/>
      <c r="AO313" s="340"/>
      <c r="AP313" s="340"/>
      <c r="AQ313" s="474"/>
      <c r="AR313" s="135">
        <f>COUNTIF(B:B,B313)</f>
        <v>1</v>
      </c>
      <c r="AS313" s="135" t="str">
        <f t="shared" si="141"/>
        <v>2022_12_13_a</v>
      </c>
      <c r="AT313" s="136"/>
      <c r="AU313" s="135" t="str">
        <f t="shared" si="142"/>
        <v>2022</v>
      </c>
      <c r="AV313" s="135" t="str">
        <f t="shared" si="143"/>
        <v>12</v>
      </c>
      <c r="AW313" s="135" t="str">
        <f t="shared" si="144"/>
        <v>13</v>
      </c>
      <c r="AX313" s="135">
        <f t="shared" si="145"/>
        <v>44908</v>
      </c>
      <c r="AY313" s="137"/>
      <c r="AZ313" s="138">
        <f t="shared" si="146"/>
        <v>44908</v>
      </c>
      <c r="BA313" s="135" t="b">
        <f t="shared" si="147"/>
        <v>1</v>
      </c>
      <c r="BB313" s="135">
        <f t="shared" si="148"/>
        <v>44908</v>
      </c>
      <c r="BC313" s="135" t="str">
        <f t="shared" si="149"/>
        <v>no</v>
      </c>
      <c r="BD313" s="135" t="b">
        <f t="shared" si="150"/>
        <v>0</v>
      </c>
      <c r="BE313" s="139" t="s">
        <v>59</v>
      </c>
      <c r="BF313" s="350"/>
    </row>
    <row r="314" spans="1:58" s="331" customFormat="1" ht="154">
      <c r="A314" s="338"/>
      <c r="B314" s="336" t="s">
        <v>866</v>
      </c>
      <c r="C314" s="338"/>
      <c r="D314" s="338">
        <v>10258505</v>
      </c>
      <c r="E314" s="338"/>
      <c r="F314" s="337" t="s">
        <v>713</v>
      </c>
      <c r="G314" s="338" t="s">
        <v>801</v>
      </c>
      <c r="H314" s="339">
        <v>44579</v>
      </c>
      <c r="I314" s="337"/>
      <c r="J314" s="339">
        <f t="shared" si="151"/>
        <v>44593</v>
      </c>
      <c r="K314" s="337"/>
      <c r="L314" s="337"/>
      <c r="M314" s="337"/>
      <c r="N314" s="337"/>
      <c r="O314" s="337"/>
      <c r="P314" s="337"/>
      <c r="Q314" s="338" t="s">
        <v>49</v>
      </c>
      <c r="R314" s="338" t="s">
        <v>731</v>
      </c>
      <c r="S314" s="332">
        <f t="shared" si="152"/>
        <v>25</v>
      </c>
      <c r="T314" s="338"/>
      <c r="U314" s="338">
        <v>0</v>
      </c>
      <c r="V314" s="340">
        <v>25</v>
      </c>
      <c r="W314" s="338"/>
      <c r="X314" s="338"/>
      <c r="Y314" s="338"/>
      <c r="Z314" s="338"/>
      <c r="AA314" s="338"/>
      <c r="AB314" s="338"/>
      <c r="AC314" s="338"/>
      <c r="AD314" s="338"/>
      <c r="AE314" s="338"/>
      <c r="AF314" s="338"/>
      <c r="AG314" s="332" t="s">
        <v>85</v>
      </c>
      <c r="AH314" s="332" t="s">
        <v>86</v>
      </c>
      <c r="AI314" s="338"/>
      <c r="AJ314" s="338"/>
      <c r="AK314" s="338"/>
      <c r="AL314" s="341"/>
      <c r="AM314" s="332"/>
      <c r="AN314" s="332"/>
      <c r="AO314" s="340"/>
      <c r="AP314" s="340"/>
      <c r="AQ314" s="474"/>
      <c r="AR314" s="135">
        <f>COUNTIF(B:B,B314)</f>
        <v>1</v>
      </c>
      <c r="AS314" s="135" t="str">
        <f t="shared" si="141"/>
        <v>2022_01_18_a</v>
      </c>
      <c r="AT314" s="136"/>
      <c r="AU314" s="135" t="str">
        <f t="shared" si="142"/>
        <v>2022</v>
      </c>
      <c r="AV314" s="135" t="str">
        <f t="shared" si="143"/>
        <v>01</v>
      </c>
      <c r="AW314" s="135" t="str">
        <f t="shared" si="144"/>
        <v>18</v>
      </c>
      <c r="AX314" s="135">
        <f t="shared" si="145"/>
        <v>44579</v>
      </c>
      <c r="AY314" s="137"/>
      <c r="AZ314" s="138">
        <f t="shared" si="146"/>
        <v>44579</v>
      </c>
      <c r="BA314" s="135" t="b">
        <f t="shared" si="147"/>
        <v>1</v>
      </c>
      <c r="BB314" s="135">
        <f t="shared" si="148"/>
        <v>44579</v>
      </c>
      <c r="BC314" s="135" t="str">
        <f t="shared" si="149"/>
        <v>no</v>
      </c>
      <c r="BD314" s="135" t="b">
        <f t="shared" si="150"/>
        <v>0</v>
      </c>
      <c r="BE314" s="139" t="s">
        <v>59</v>
      </c>
      <c r="BF314" s="350"/>
    </row>
    <row r="315" spans="1:58" s="331" customFormat="1" ht="154">
      <c r="A315" s="338"/>
      <c r="B315" s="336" t="s">
        <v>867</v>
      </c>
      <c r="C315" s="338"/>
      <c r="D315" s="338">
        <v>10258510</v>
      </c>
      <c r="E315" s="338"/>
      <c r="F315" s="337" t="s">
        <v>713</v>
      </c>
      <c r="G315" s="338" t="s">
        <v>803</v>
      </c>
      <c r="H315" s="339">
        <v>44607</v>
      </c>
      <c r="I315" s="337"/>
      <c r="J315" s="339">
        <f t="shared" si="151"/>
        <v>44621</v>
      </c>
      <c r="K315" s="337"/>
      <c r="L315" s="337"/>
      <c r="M315" s="337"/>
      <c r="N315" s="337"/>
      <c r="O315" s="337"/>
      <c r="P315" s="337"/>
      <c r="Q315" s="338" t="s">
        <v>49</v>
      </c>
      <c r="R315" s="338" t="s">
        <v>731</v>
      </c>
      <c r="S315" s="332">
        <f t="shared" si="152"/>
        <v>25</v>
      </c>
      <c r="T315" s="338"/>
      <c r="U315" s="338">
        <v>0</v>
      </c>
      <c r="V315" s="340">
        <v>25</v>
      </c>
      <c r="W315" s="338"/>
      <c r="X315" s="338"/>
      <c r="Y315" s="338"/>
      <c r="Z315" s="338"/>
      <c r="AA315" s="338"/>
      <c r="AB315" s="338"/>
      <c r="AC315" s="338"/>
      <c r="AD315" s="338"/>
      <c r="AE315" s="338"/>
      <c r="AF315" s="338"/>
      <c r="AG315" s="332" t="s">
        <v>85</v>
      </c>
      <c r="AH315" s="332" t="s">
        <v>86</v>
      </c>
      <c r="AI315" s="338"/>
      <c r="AJ315" s="338"/>
      <c r="AK315" s="338"/>
      <c r="AL315" s="341"/>
      <c r="AM315" s="332"/>
      <c r="AN315" s="332"/>
      <c r="AO315" s="340"/>
      <c r="AP315" s="340"/>
      <c r="AQ315" s="474"/>
      <c r="AR315" s="135">
        <f>COUNTIF(B:B,B315)</f>
        <v>1</v>
      </c>
      <c r="AS315" s="135" t="str">
        <f t="shared" si="141"/>
        <v>2022_02_15_a</v>
      </c>
      <c r="AT315" s="136"/>
      <c r="AU315" s="135" t="str">
        <f t="shared" si="142"/>
        <v>2022</v>
      </c>
      <c r="AV315" s="135" t="str">
        <f t="shared" si="143"/>
        <v>02</v>
      </c>
      <c r="AW315" s="135" t="str">
        <f t="shared" si="144"/>
        <v>15</v>
      </c>
      <c r="AX315" s="135">
        <f t="shared" si="145"/>
        <v>44607</v>
      </c>
      <c r="AY315" s="137"/>
      <c r="AZ315" s="138">
        <f t="shared" si="146"/>
        <v>44607</v>
      </c>
      <c r="BA315" s="135" t="b">
        <f t="shared" si="147"/>
        <v>1</v>
      </c>
      <c r="BB315" s="135">
        <f t="shared" si="148"/>
        <v>44607</v>
      </c>
      <c r="BC315" s="135" t="str">
        <f t="shared" si="149"/>
        <v>no</v>
      </c>
      <c r="BD315" s="135" t="b">
        <f t="shared" si="150"/>
        <v>0</v>
      </c>
      <c r="BE315" s="139" t="s">
        <v>59</v>
      </c>
      <c r="BF315" s="350"/>
    </row>
    <row r="316" spans="1:58" s="331" customFormat="1" ht="154">
      <c r="A316" s="338"/>
      <c r="B316" s="336" t="s">
        <v>868</v>
      </c>
      <c r="C316" s="338"/>
      <c r="D316" s="338">
        <v>10260543</v>
      </c>
      <c r="E316" s="338"/>
      <c r="F316" s="337" t="s">
        <v>713</v>
      </c>
      <c r="G316" s="338" t="s">
        <v>806</v>
      </c>
      <c r="H316" s="339">
        <v>44635</v>
      </c>
      <c r="I316" s="337"/>
      <c r="J316" s="339">
        <f t="shared" si="151"/>
        <v>44649</v>
      </c>
      <c r="K316" s="337"/>
      <c r="L316" s="337"/>
      <c r="M316" s="337"/>
      <c r="N316" s="337"/>
      <c r="O316" s="337"/>
      <c r="P316" s="337"/>
      <c r="Q316" s="338" t="s">
        <v>49</v>
      </c>
      <c r="R316" s="338" t="s">
        <v>731</v>
      </c>
      <c r="S316" s="332">
        <f t="shared" si="152"/>
        <v>25</v>
      </c>
      <c r="T316" s="338"/>
      <c r="U316" s="338">
        <v>0</v>
      </c>
      <c r="V316" s="340">
        <v>25</v>
      </c>
      <c r="W316" s="338"/>
      <c r="X316" s="338"/>
      <c r="Y316" s="338"/>
      <c r="Z316" s="338"/>
      <c r="AA316" s="338"/>
      <c r="AB316" s="338"/>
      <c r="AC316" s="338"/>
      <c r="AD316" s="338"/>
      <c r="AE316" s="338"/>
      <c r="AF316" s="338"/>
      <c r="AG316" s="332" t="s">
        <v>85</v>
      </c>
      <c r="AH316" s="332" t="s">
        <v>86</v>
      </c>
      <c r="AI316" s="338"/>
      <c r="AJ316" s="338"/>
      <c r="AK316" s="338"/>
      <c r="AL316" s="341"/>
      <c r="AM316" s="332"/>
      <c r="AN316" s="332"/>
      <c r="AO316" s="340"/>
      <c r="AP316" s="340"/>
      <c r="AQ316" s="474"/>
      <c r="AR316" s="135">
        <f>COUNTIF(B:B,B316)</f>
        <v>1</v>
      </c>
      <c r="AS316" s="135" t="str">
        <f t="shared" si="141"/>
        <v>2022_03_15_a</v>
      </c>
      <c r="AT316" s="136"/>
      <c r="AU316" s="135" t="str">
        <f t="shared" si="142"/>
        <v>2022</v>
      </c>
      <c r="AV316" s="135" t="str">
        <f t="shared" si="143"/>
        <v>03</v>
      </c>
      <c r="AW316" s="135" t="str">
        <f t="shared" si="144"/>
        <v>15</v>
      </c>
      <c r="AX316" s="135">
        <f t="shared" si="145"/>
        <v>44635</v>
      </c>
      <c r="AY316" s="137"/>
      <c r="AZ316" s="138">
        <f t="shared" si="146"/>
        <v>44635</v>
      </c>
      <c r="BA316" s="135" t="b">
        <f t="shared" si="147"/>
        <v>1</v>
      </c>
      <c r="BB316" s="135">
        <f t="shared" si="148"/>
        <v>44635</v>
      </c>
      <c r="BC316" s="135" t="str">
        <f t="shared" si="149"/>
        <v>no</v>
      </c>
      <c r="BD316" s="135" t="b">
        <f t="shared" si="150"/>
        <v>0</v>
      </c>
      <c r="BE316" s="139" t="s">
        <v>59</v>
      </c>
      <c r="BF316" s="350"/>
    </row>
    <row r="317" spans="1:58" s="331" customFormat="1" ht="154">
      <c r="A317" s="338"/>
      <c r="B317" s="336" t="s">
        <v>869</v>
      </c>
      <c r="C317" s="338"/>
      <c r="D317" s="338">
        <v>10266396</v>
      </c>
      <c r="E317" s="338"/>
      <c r="F317" s="337" t="s">
        <v>713</v>
      </c>
      <c r="G317" s="338" t="s">
        <v>809</v>
      </c>
      <c r="H317" s="339">
        <v>44663</v>
      </c>
      <c r="I317" s="337"/>
      <c r="J317" s="339">
        <f t="shared" si="151"/>
        <v>44677</v>
      </c>
      <c r="K317" s="337"/>
      <c r="L317" s="337"/>
      <c r="M317" s="337"/>
      <c r="N317" s="337"/>
      <c r="O317" s="337"/>
      <c r="P317" s="337"/>
      <c r="Q317" s="338" t="s">
        <v>82</v>
      </c>
      <c r="R317" s="338" t="s">
        <v>731</v>
      </c>
      <c r="S317" s="332">
        <f t="shared" si="152"/>
        <v>25</v>
      </c>
      <c r="T317" s="338"/>
      <c r="U317" s="338">
        <v>0</v>
      </c>
      <c r="V317" s="340">
        <v>25</v>
      </c>
      <c r="W317" s="338"/>
      <c r="X317" s="338"/>
      <c r="Y317" s="338"/>
      <c r="Z317" s="338"/>
      <c r="AA317" s="338"/>
      <c r="AB317" s="338"/>
      <c r="AC317" s="338"/>
      <c r="AD317" s="338"/>
      <c r="AE317" s="338"/>
      <c r="AF317" s="338"/>
      <c r="AG317" s="332" t="s">
        <v>85</v>
      </c>
      <c r="AH317" s="332" t="s">
        <v>86</v>
      </c>
      <c r="AI317" s="338"/>
      <c r="AJ317" s="338"/>
      <c r="AK317" s="338"/>
      <c r="AL317" s="341"/>
      <c r="AM317" s="332"/>
      <c r="AN317" s="332"/>
      <c r="AO317" s="340"/>
      <c r="AP317" s="340"/>
      <c r="AQ317" s="474"/>
      <c r="AR317" s="135">
        <f>COUNTIF(B:B,B317)</f>
        <v>1</v>
      </c>
      <c r="AS317" s="135" t="str">
        <f t="shared" si="141"/>
        <v>2022_04_12_a</v>
      </c>
      <c r="AT317" s="136"/>
      <c r="AU317" s="135" t="str">
        <f t="shared" si="142"/>
        <v>2022</v>
      </c>
      <c r="AV317" s="135" t="str">
        <f t="shared" si="143"/>
        <v>04</v>
      </c>
      <c r="AW317" s="135" t="str">
        <f t="shared" si="144"/>
        <v>12</v>
      </c>
      <c r="AX317" s="135">
        <f t="shared" si="145"/>
        <v>44663</v>
      </c>
      <c r="AY317" s="137"/>
      <c r="AZ317" s="138">
        <f t="shared" si="146"/>
        <v>44663</v>
      </c>
      <c r="BA317" s="135" t="b">
        <f t="shared" si="147"/>
        <v>1</v>
      </c>
      <c r="BB317" s="135">
        <f t="shared" si="148"/>
        <v>44663</v>
      </c>
      <c r="BC317" s="135" t="str">
        <f t="shared" si="149"/>
        <v>no</v>
      </c>
      <c r="BD317" s="135" t="b">
        <f t="shared" si="150"/>
        <v>0</v>
      </c>
      <c r="BE317" s="139" t="s">
        <v>59</v>
      </c>
      <c r="BF317" s="350"/>
    </row>
    <row r="318" spans="1:58" s="331" customFormat="1" ht="154">
      <c r="A318" s="338"/>
      <c r="B318" s="336" t="s">
        <v>870</v>
      </c>
      <c r="C318" s="338"/>
      <c r="D318" s="338">
        <v>10271568</v>
      </c>
      <c r="E318" s="338"/>
      <c r="F318" s="337" t="s">
        <v>713</v>
      </c>
      <c r="G318" s="338" t="s">
        <v>813</v>
      </c>
      <c r="H318" s="339">
        <v>44698</v>
      </c>
      <c r="I318" s="337"/>
      <c r="J318" s="339">
        <f t="shared" si="151"/>
        <v>44712</v>
      </c>
      <c r="K318" s="337"/>
      <c r="L318" s="337"/>
      <c r="M318" s="337"/>
      <c r="N318" s="337"/>
      <c r="O318" s="337"/>
      <c r="P318" s="337"/>
      <c r="Q318" s="338" t="s">
        <v>82</v>
      </c>
      <c r="R318" s="338" t="s">
        <v>731</v>
      </c>
      <c r="S318" s="332">
        <f t="shared" si="152"/>
        <v>25</v>
      </c>
      <c r="T318" s="338"/>
      <c r="U318" s="338">
        <v>0</v>
      </c>
      <c r="V318" s="340">
        <v>25</v>
      </c>
      <c r="W318" s="338"/>
      <c r="X318" s="338"/>
      <c r="Y318" s="338"/>
      <c r="Z318" s="338"/>
      <c r="AA318" s="338"/>
      <c r="AB318" s="338"/>
      <c r="AC318" s="338"/>
      <c r="AD318" s="338"/>
      <c r="AE318" s="338"/>
      <c r="AF318" s="338"/>
      <c r="AG318" s="332" t="s">
        <v>85</v>
      </c>
      <c r="AH318" s="332" t="s">
        <v>86</v>
      </c>
      <c r="AI318" s="338"/>
      <c r="AJ318" s="338"/>
      <c r="AK318" s="338"/>
      <c r="AL318" s="341"/>
      <c r="AM318" s="332"/>
      <c r="AN318" s="332"/>
      <c r="AO318" s="340"/>
      <c r="AP318" s="340"/>
      <c r="AQ318" s="474"/>
      <c r="AR318" s="135">
        <f>COUNTIF(B:B,B318)</f>
        <v>1</v>
      </c>
      <c r="AS318" s="135" t="str">
        <f t="shared" si="141"/>
        <v>2022_05_17_a</v>
      </c>
      <c r="AT318" s="136"/>
      <c r="AU318" s="135" t="str">
        <f t="shared" si="142"/>
        <v>2022</v>
      </c>
      <c r="AV318" s="135" t="str">
        <f t="shared" si="143"/>
        <v>05</v>
      </c>
      <c r="AW318" s="135" t="str">
        <f t="shared" si="144"/>
        <v>17</v>
      </c>
      <c r="AX318" s="135">
        <f t="shared" si="145"/>
        <v>44698</v>
      </c>
      <c r="AY318" s="137"/>
      <c r="AZ318" s="138">
        <f t="shared" si="146"/>
        <v>44698</v>
      </c>
      <c r="BA318" s="135" t="b">
        <f t="shared" si="147"/>
        <v>1</v>
      </c>
      <c r="BB318" s="135">
        <f t="shared" si="148"/>
        <v>44698</v>
      </c>
      <c r="BC318" s="135" t="str">
        <f t="shared" si="149"/>
        <v>no</v>
      </c>
      <c r="BD318" s="135" t="b">
        <f t="shared" si="150"/>
        <v>0</v>
      </c>
      <c r="BE318" s="139" t="s">
        <v>59</v>
      </c>
      <c r="BF318" s="350"/>
    </row>
    <row r="319" spans="1:58" s="331" customFormat="1" ht="154">
      <c r="A319" s="338"/>
      <c r="B319" s="336" t="s">
        <v>871</v>
      </c>
      <c r="C319" s="338"/>
      <c r="D319" s="338" t="s">
        <v>860</v>
      </c>
      <c r="E319" s="338"/>
      <c r="F319" s="337" t="s">
        <v>713</v>
      </c>
      <c r="G319" s="338" t="s">
        <v>822</v>
      </c>
      <c r="H319" s="339">
        <v>44754</v>
      </c>
      <c r="I319" s="337"/>
      <c r="J319" s="339">
        <f t="shared" si="151"/>
        <v>44768</v>
      </c>
      <c r="K319" s="337"/>
      <c r="L319" s="337"/>
      <c r="M319" s="337"/>
      <c r="N319" s="337"/>
      <c r="O319" s="337"/>
      <c r="P319" s="337"/>
      <c r="Q319" s="338" t="s">
        <v>93</v>
      </c>
      <c r="R319" s="338" t="s">
        <v>731</v>
      </c>
      <c r="S319" s="332">
        <f t="shared" si="152"/>
        <v>25</v>
      </c>
      <c r="T319" s="338"/>
      <c r="U319" s="338">
        <v>0</v>
      </c>
      <c r="V319" s="340">
        <v>25</v>
      </c>
      <c r="W319" s="338"/>
      <c r="X319" s="338"/>
      <c r="Y319" s="338"/>
      <c r="Z319" s="338"/>
      <c r="AA319" s="338"/>
      <c r="AB319" s="338"/>
      <c r="AC319" s="338"/>
      <c r="AD319" s="338"/>
      <c r="AE319" s="338"/>
      <c r="AF319" s="338"/>
      <c r="AG319" s="332" t="s">
        <v>85</v>
      </c>
      <c r="AH319" s="332" t="s">
        <v>86</v>
      </c>
      <c r="AI319" s="338"/>
      <c r="AJ319" s="338"/>
      <c r="AK319" s="338"/>
      <c r="AL319" s="341"/>
      <c r="AM319" s="332"/>
      <c r="AN319" s="332"/>
      <c r="AO319" s="340"/>
      <c r="AP319" s="340"/>
      <c r="AQ319" s="474"/>
      <c r="AR319" s="135">
        <f>COUNTIF(B:B,B319)</f>
        <v>1</v>
      </c>
      <c r="AS319" s="135" t="str">
        <f t="shared" si="141"/>
        <v>2022_07_12_a</v>
      </c>
      <c r="AT319" s="136"/>
      <c r="AU319" s="135" t="str">
        <f t="shared" si="142"/>
        <v>2022</v>
      </c>
      <c r="AV319" s="135" t="str">
        <f t="shared" si="143"/>
        <v>07</v>
      </c>
      <c r="AW319" s="135" t="str">
        <f t="shared" si="144"/>
        <v>12</v>
      </c>
      <c r="AX319" s="135">
        <f t="shared" si="145"/>
        <v>44754</v>
      </c>
      <c r="AY319" s="137"/>
      <c r="AZ319" s="138">
        <f t="shared" si="146"/>
        <v>44754</v>
      </c>
      <c r="BA319" s="135" t="b">
        <f t="shared" si="147"/>
        <v>1</v>
      </c>
      <c r="BB319" s="135">
        <f t="shared" si="148"/>
        <v>44754</v>
      </c>
      <c r="BC319" s="135" t="str">
        <f t="shared" si="149"/>
        <v>no</v>
      </c>
      <c r="BD319" s="135" t="b">
        <f t="shared" si="150"/>
        <v>0</v>
      </c>
      <c r="BE319" s="139" t="s">
        <v>59</v>
      </c>
      <c r="BF319" s="350"/>
    </row>
    <row r="320" spans="1:58" s="331" customFormat="1" ht="154">
      <c r="A320" s="338"/>
      <c r="B320" s="336" t="s">
        <v>872</v>
      </c>
      <c r="C320" s="338"/>
      <c r="D320" s="338"/>
      <c r="E320" s="338"/>
      <c r="F320" s="337" t="s">
        <v>713</v>
      </c>
      <c r="G320" s="338" t="s">
        <v>824</v>
      </c>
      <c r="H320" s="339">
        <v>44788</v>
      </c>
      <c r="I320" s="337"/>
      <c r="J320" s="339">
        <f t="shared" si="151"/>
        <v>44802</v>
      </c>
      <c r="K320" s="337"/>
      <c r="L320" s="337"/>
      <c r="M320" s="337"/>
      <c r="N320" s="337"/>
      <c r="O320" s="337"/>
      <c r="P320" s="337"/>
      <c r="Q320" s="338" t="s">
        <v>93</v>
      </c>
      <c r="R320" s="338" t="s">
        <v>731</v>
      </c>
      <c r="S320" s="332">
        <f t="shared" si="152"/>
        <v>25</v>
      </c>
      <c r="T320" s="338"/>
      <c r="U320" s="338">
        <v>0</v>
      </c>
      <c r="V320" s="340">
        <v>25</v>
      </c>
      <c r="W320" s="338"/>
      <c r="X320" s="338"/>
      <c r="Y320" s="338"/>
      <c r="Z320" s="338"/>
      <c r="AA320" s="338"/>
      <c r="AB320" s="338"/>
      <c r="AC320" s="338"/>
      <c r="AD320" s="338"/>
      <c r="AE320" s="338"/>
      <c r="AF320" s="338"/>
      <c r="AG320" s="332" t="s">
        <v>85</v>
      </c>
      <c r="AH320" s="332" t="s">
        <v>86</v>
      </c>
      <c r="AI320" s="338"/>
      <c r="AJ320" s="338"/>
      <c r="AK320" s="338"/>
      <c r="AL320" s="341"/>
      <c r="AM320" s="332"/>
      <c r="AN320" s="332"/>
      <c r="AO320" s="340"/>
      <c r="AP320" s="340"/>
      <c r="AQ320" s="474"/>
      <c r="AR320" s="135">
        <f>COUNTIF(B:B,B320)</f>
        <v>1</v>
      </c>
      <c r="AS320" s="135" t="str">
        <f t="shared" si="141"/>
        <v>2022_08_15_a</v>
      </c>
      <c r="AT320" s="136"/>
      <c r="AU320" s="135" t="str">
        <f t="shared" si="142"/>
        <v>2022</v>
      </c>
      <c r="AV320" s="135" t="str">
        <f t="shared" si="143"/>
        <v>08</v>
      </c>
      <c r="AW320" s="135" t="str">
        <f t="shared" si="144"/>
        <v>15</v>
      </c>
      <c r="AX320" s="135">
        <f t="shared" si="145"/>
        <v>44788</v>
      </c>
      <c r="AY320" s="137"/>
      <c r="AZ320" s="138">
        <f t="shared" si="146"/>
        <v>44788</v>
      </c>
      <c r="BA320" s="135" t="b">
        <f t="shared" si="147"/>
        <v>1</v>
      </c>
      <c r="BB320" s="135">
        <f t="shared" si="148"/>
        <v>44788</v>
      </c>
      <c r="BC320" s="135" t="str">
        <f t="shared" si="149"/>
        <v>no</v>
      </c>
      <c r="BD320" s="135" t="b">
        <f t="shared" si="150"/>
        <v>0</v>
      </c>
      <c r="BE320" s="139" t="s">
        <v>59</v>
      </c>
      <c r="BF320" s="350"/>
    </row>
    <row r="321" spans="1:58" s="331" customFormat="1" ht="154">
      <c r="A321" s="338"/>
      <c r="B321" s="336" t="s">
        <v>873</v>
      </c>
      <c r="C321" s="338"/>
      <c r="D321" s="338"/>
      <c r="E321" s="338"/>
      <c r="F321" s="337" t="s">
        <v>713</v>
      </c>
      <c r="G321" s="338" t="s">
        <v>829</v>
      </c>
      <c r="H321" s="339">
        <v>44817</v>
      </c>
      <c r="I321" s="337"/>
      <c r="J321" s="339">
        <f t="shared" si="151"/>
        <v>44831</v>
      </c>
      <c r="K321" s="337"/>
      <c r="L321" s="337"/>
      <c r="M321" s="337"/>
      <c r="N321" s="337"/>
      <c r="O321" s="337"/>
      <c r="P321" s="337"/>
      <c r="Q321" s="338" t="s">
        <v>93</v>
      </c>
      <c r="R321" s="338" t="s">
        <v>731</v>
      </c>
      <c r="S321" s="332">
        <f t="shared" si="152"/>
        <v>25</v>
      </c>
      <c r="T321" s="338"/>
      <c r="U321" s="338">
        <v>0</v>
      </c>
      <c r="V321" s="340">
        <v>25</v>
      </c>
      <c r="W321" s="338"/>
      <c r="X321" s="338"/>
      <c r="Y321" s="338"/>
      <c r="Z321" s="338"/>
      <c r="AA321" s="338"/>
      <c r="AB321" s="338"/>
      <c r="AC321" s="338"/>
      <c r="AD321" s="338"/>
      <c r="AE321" s="338"/>
      <c r="AF321" s="338"/>
      <c r="AG321" s="332" t="s">
        <v>85</v>
      </c>
      <c r="AH321" s="332" t="s">
        <v>86</v>
      </c>
      <c r="AI321" s="338"/>
      <c r="AJ321" s="338"/>
      <c r="AK321" s="338"/>
      <c r="AL321" s="341"/>
      <c r="AM321" s="332"/>
      <c r="AN321" s="332"/>
      <c r="AO321" s="340"/>
      <c r="AP321" s="340"/>
      <c r="AQ321" s="474"/>
      <c r="AR321" s="135">
        <f>COUNTIF(B:B,B321)</f>
        <v>1</v>
      </c>
      <c r="AS321" s="135" t="str">
        <f t="shared" si="141"/>
        <v>2022_09_13_a</v>
      </c>
      <c r="AT321" s="136"/>
      <c r="AU321" s="135" t="str">
        <f t="shared" si="142"/>
        <v>2022</v>
      </c>
      <c r="AV321" s="135" t="str">
        <f t="shared" si="143"/>
        <v>09</v>
      </c>
      <c r="AW321" s="135" t="str">
        <f t="shared" si="144"/>
        <v>13</v>
      </c>
      <c r="AX321" s="135">
        <f t="shared" si="145"/>
        <v>44817</v>
      </c>
      <c r="AY321" s="137"/>
      <c r="AZ321" s="138">
        <f t="shared" si="146"/>
        <v>44817</v>
      </c>
      <c r="BA321" s="135" t="b">
        <f t="shared" si="147"/>
        <v>1</v>
      </c>
      <c r="BB321" s="135">
        <f t="shared" si="148"/>
        <v>44817</v>
      </c>
      <c r="BC321" s="135" t="str">
        <f t="shared" si="149"/>
        <v>no</v>
      </c>
      <c r="BD321" s="135" t="b">
        <f t="shared" si="150"/>
        <v>0</v>
      </c>
      <c r="BE321" s="139" t="s">
        <v>59</v>
      </c>
      <c r="BF321" s="350"/>
    </row>
    <row r="322" spans="1:58" s="331" customFormat="1" ht="154">
      <c r="A322" s="338"/>
      <c r="B322" s="336" t="s">
        <v>874</v>
      </c>
      <c r="C322" s="338"/>
      <c r="D322" s="338"/>
      <c r="E322" s="338"/>
      <c r="F322" s="337" t="s">
        <v>713</v>
      </c>
      <c r="G322" s="338" t="s">
        <v>832</v>
      </c>
      <c r="H322" s="339">
        <v>44852</v>
      </c>
      <c r="I322" s="337"/>
      <c r="J322" s="339">
        <f t="shared" si="151"/>
        <v>44866</v>
      </c>
      <c r="K322" s="337"/>
      <c r="L322" s="337"/>
      <c r="M322" s="337"/>
      <c r="N322" s="337"/>
      <c r="O322" s="337"/>
      <c r="P322" s="337"/>
      <c r="Q322" s="338" t="s">
        <v>106</v>
      </c>
      <c r="R322" s="338" t="s">
        <v>731</v>
      </c>
      <c r="S322" s="332">
        <f t="shared" si="152"/>
        <v>25</v>
      </c>
      <c r="T322" s="338"/>
      <c r="U322" s="338">
        <v>0</v>
      </c>
      <c r="V322" s="340">
        <v>25</v>
      </c>
      <c r="W322" s="338"/>
      <c r="X322" s="338"/>
      <c r="Y322" s="338"/>
      <c r="Z322" s="338"/>
      <c r="AA322" s="338"/>
      <c r="AB322" s="338"/>
      <c r="AC322" s="338"/>
      <c r="AD322" s="338"/>
      <c r="AE322" s="338"/>
      <c r="AF322" s="338"/>
      <c r="AG322" s="332" t="s">
        <v>85</v>
      </c>
      <c r="AH322" s="332" t="s">
        <v>86</v>
      </c>
      <c r="AI322" s="338"/>
      <c r="AJ322" s="338"/>
      <c r="AK322" s="338"/>
      <c r="AL322" s="341"/>
      <c r="AM322" s="332"/>
      <c r="AN322" s="332"/>
      <c r="AO322" s="340"/>
      <c r="AP322" s="340"/>
      <c r="AQ322" s="474"/>
      <c r="AR322" s="135">
        <f>COUNTIF(B:B,B322)</f>
        <v>1</v>
      </c>
      <c r="AS322" s="135" t="str">
        <f t="shared" si="141"/>
        <v>2022_10_18_a</v>
      </c>
      <c r="AT322" s="136"/>
      <c r="AU322" s="135" t="str">
        <f t="shared" si="142"/>
        <v>2022</v>
      </c>
      <c r="AV322" s="135" t="str">
        <f t="shared" si="143"/>
        <v>10</v>
      </c>
      <c r="AW322" s="135" t="str">
        <f t="shared" si="144"/>
        <v>18</v>
      </c>
      <c r="AX322" s="135">
        <f t="shared" si="145"/>
        <v>44852</v>
      </c>
      <c r="AY322" s="137"/>
      <c r="AZ322" s="138">
        <f t="shared" si="146"/>
        <v>44852</v>
      </c>
      <c r="BA322" s="135" t="b">
        <f t="shared" si="147"/>
        <v>1</v>
      </c>
      <c r="BB322" s="135">
        <f t="shared" si="148"/>
        <v>44852</v>
      </c>
      <c r="BC322" s="135" t="str">
        <f t="shared" si="149"/>
        <v>no</v>
      </c>
      <c r="BD322" s="135" t="b">
        <f t="shared" si="150"/>
        <v>0</v>
      </c>
      <c r="BE322" s="139" t="s">
        <v>59</v>
      </c>
      <c r="BF322" s="350"/>
    </row>
    <row r="323" spans="1:58" s="331" customFormat="1" ht="154">
      <c r="A323" s="338"/>
      <c r="B323" s="336" t="s">
        <v>875</v>
      </c>
      <c r="C323" s="338"/>
      <c r="D323" s="338"/>
      <c r="E323" s="338"/>
      <c r="F323" s="337" t="s">
        <v>713</v>
      </c>
      <c r="G323" s="338" t="s">
        <v>834</v>
      </c>
      <c r="H323" s="339">
        <v>44879</v>
      </c>
      <c r="I323" s="337"/>
      <c r="J323" s="339">
        <f t="shared" si="151"/>
        <v>44893</v>
      </c>
      <c r="K323" s="337"/>
      <c r="L323" s="337"/>
      <c r="M323" s="337"/>
      <c r="N323" s="337"/>
      <c r="O323" s="337"/>
      <c r="P323" s="337"/>
      <c r="Q323" s="338" t="s">
        <v>106</v>
      </c>
      <c r="R323" s="338" t="s">
        <v>731</v>
      </c>
      <c r="S323" s="332">
        <f t="shared" si="152"/>
        <v>25</v>
      </c>
      <c r="T323" s="338"/>
      <c r="U323" s="338">
        <v>0</v>
      </c>
      <c r="V323" s="340">
        <v>25</v>
      </c>
      <c r="W323" s="338"/>
      <c r="X323" s="338"/>
      <c r="Y323" s="338"/>
      <c r="Z323" s="338"/>
      <c r="AA323" s="338"/>
      <c r="AB323" s="338"/>
      <c r="AC323" s="338"/>
      <c r="AD323" s="338"/>
      <c r="AE323" s="338"/>
      <c r="AF323" s="338"/>
      <c r="AG323" s="332" t="s">
        <v>85</v>
      </c>
      <c r="AH323" s="332" t="s">
        <v>86</v>
      </c>
      <c r="AI323" s="338"/>
      <c r="AJ323" s="338"/>
      <c r="AK323" s="338"/>
      <c r="AL323" s="341"/>
      <c r="AM323" s="332"/>
      <c r="AN323" s="332"/>
      <c r="AO323" s="340"/>
      <c r="AP323" s="340"/>
      <c r="AQ323" s="474"/>
      <c r="AR323" s="135">
        <f>COUNTIF(B:B,B323)</f>
        <v>1</v>
      </c>
      <c r="AS323" s="135" t="str">
        <f t="shared" si="141"/>
        <v>2022_11_14_a</v>
      </c>
      <c r="AT323" s="136"/>
      <c r="AU323" s="135" t="str">
        <f t="shared" si="142"/>
        <v>2022</v>
      </c>
      <c r="AV323" s="135" t="str">
        <f t="shared" si="143"/>
        <v>11</v>
      </c>
      <c r="AW323" s="135" t="str">
        <f t="shared" si="144"/>
        <v>14</v>
      </c>
      <c r="AX323" s="135">
        <f t="shared" si="145"/>
        <v>44879</v>
      </c>
      <c r="AY323" s="137"/>
      <c r="AZ323" s="138">
        <f t="shared" si="146"/>
        <v>44879</v>
      </c>
      <c r="BA323" s="135" t="b">
        <f t="shared" si="147"/>
        <v>1</v>
      </c>
      <c r="BB323" s="135">
        <f t="shared" si="148"/>
        <v>44879</v>
      </c>
      <c r="BC323" s="135" t="str">
        <f t="shared" si="149"/>
        <v>no</v>
      </c>
      <c r="BD323" s="135" t="b">
        <f t="shared" si="150"/>
        <v>0</v>
      </c>
      <c r="BE323" s="139" t="s">
        <v>59</v>
      </c>
      <c r="BF323" s="350"/>
    </row>
    <row r="324" spans="1:58" s="331" customFormat="1" ht="154">
      <c r="A324" s="338"/>
      <c r="B324" s="336" t="s">
        <v>876</v>
      </c>
      <c r="C324" s="338"/>
      <c r="D324" s="338"/>
      <c r="E324" s="338"/>
      <c r="F324" s="337" t="s">
        <v>713</v>
      </c>
      <c r="G324" s="125">
        <v>44942</v>
      </c>
      <c r="H324" s="339">
        <v>44942</v>
      </c>
      <c r="I324" s="339"/>
      <c r="J324" s="339">
        <v>44954</v>
      </c>
      <c r="K324" s="339"/>
      <c r="L324" s="337"/>
      <c r="M324" s="337"/>
      <c r="N324" s="337"/>
      <c r="O324" s="337"/>
      <c r="P324" s="337"/>
      <c r="Q324" s="338" t="s">
        <v>49</v>
      </c>
      <c r="R324" s="338" t="s">
        <v>877</v>
      </c>
      <c r="S324" s="338">
        <f t="shared" si="152"/>
        <v>70</v>
      </c>
      <c r="T324" s="338"/>
      <c r="U324" s="337">
        <v>70</v>
      </c>
      <c r="V324" s="340">
        <v>0</v>
      </c>
      <c r="W324" s="338"/>
      <c r="X324" s="338"/>
      <c r="Y324" s="338"/>
      <c r="Z324" s="338"/>
      <c r="AA324" s="338"/>
      <c r="AB324" s="338"/>
      <c r="AC324" s="338"/>
      <c r="AD324" s="338"/>
      <c r="AE324" s="338"/>
      <c r="AF324" s="338"/>
      <c r="AG324" s="332" t="s">
        <v>85</v>
      </c>
      <c r="AH324" s="338" t="s">
        <v>86</v>
      </c>
      <c r="AI324" s="338"/>
      <c r="AJ324" s="338"/>
      <c r="AK324" s="338"/>
      <c r="AL324" s="341"/>
      <c r="AM324" s="338"/>
      <c r="AN324" s="338"/>
      <c r="AO324" s="340"/>
      <c r="AP324" s="340"/>
      <c r="AQ324" s="474"/>
      <c r="AR324" s="135">
        <f>COUNTIF(B:B,B324)</f>
        <v>1</v>
      </c>
      <c r="AS324" s="135" t="str">
        <f t="shared" si="141"/>
        <v>2023_01_16_a</v>
      </c>
      <c r="AT324" s="136"/>
      <c r="AU324" s="135" t="str">
        <f t="shared" si="142"/>
        <v>2023</v>
      </c>
      <c r="AV324" s="135" t="str">
        <f t="shared" si="143"/>
        <v>01</v>
      </c>
      <c r="AW324" s="135" t="str">
        <f t="shared" si="144"/>
        <v>16</v>
      </c>
      <c r="AX324" s="135">
        <f t="shared" si="145"/>
        <v>44942</v>
      </c>
      <c r="AY324" s="137"/>
      <c r="AZ324" s="138">
        <f t="shared" si="146"/>
        <v>44942</v>
      </c>
      <c r="BA324" s="135" t="b">
        <f t="shared" si="147"/>
        <v>1</v>
      </c>
      <c r="BB324" s="135">
        <f t="shared" si="148"/>
        <v>44942</v>
      </c>
      <c r="BC324" s="135" t="str">
        <f t="shared" si="149"/>
        <v>no</v>
      </c>
      <c r="BD324" s="135" t="b">
        <f t="shared" si="150"/>
        <v>0</v>
      </c>
      <c r="BE324" s="139" t="s">
        <v>59</v>
      </c>
      <c r="BF324" s="350"/>
    </row>
    <row r="325" spans="1:58" s="331" customFormat="1" ht="154">
      <c r="A325" s="338"/>
      <c r="B325" s="336" t="s">
        <v>878</v>
      </c>
      <c r="C325" s="338"/>
      <c r="D325" s="338"/>
      <c r="E325" s="338"/>
      <c r="F325" s="337" t="s">
        <v>713</v>
      </c>
      <c r="G325" s="125">
        <v>44977</v>
      </c>
      <c r="H325" s="339">
        <v>44977</v>
      </c>
      <c r="I325" s="339"/>
      <c r="J325" s="339">
        <v>44989</v>
      </c>
      <c r="K325" s="339"/>
      <c r="L325" s="337"/>
      <c r="M325" s="337"/>
      <c r="N325" s="337"/>
      <c r="O325" s="337"/>
      <c r="P325" s="337"/>
      <c r="Q325" s="338" t="s">
        <v>49</v>
      </c>
      <c r="R325" s="338" t="s">
        <v>877</v>
      </c>
      <c r="S325" s="338">
        <f t="shared" si="152"/>
        <v>70</v>
      </c>
      <c r="T325" s="338"/>
      <c r="U325" s="337">
        <v>70</v>
      </c>
      <c r="V325" s="340">
        <v>0</v>
      </c>
      <c r="W325" s="338"/>
      <c r="X325" s="338"/>
      <c r="Y325" s="338"/>
      <c r="Z325" s="338"/>
      <c r="AA325" s="338"/>
      <c r="AB325" s="338"/>
      <c r="AC325" s="338"/>
      <c r="AD325" s="338"/>
      <c r="AE325" s="338"/>
      <c r="AF325" s="338"/>
      <c r="AG325" s="332" t="s">
        <v>85</v>
      </c>
      <c r="AH325" s="338" t="s">
        <v>86</v>
      </c>
      <c r="AI325" s="338"/>
      <c r="AJ325" s="338"/>
      <c r="AK325" s="338"/>
      <c r="AL325" s="341"/>
      <c r="AM325" s="338"/>
      <c r="AN325" s="338"/>
      <c r="AO325" s="340"/>
      <c r="AP325" s="340"/>
      <c r="AQ325" s="474"/>
      <c r="AR325" s="135">
        <f>COUNTIF(B:B,B325)</f>
        <v>1</v>
      </c>
      <c r="AS325" s="135" t="str">
        <f t="shared" si="141"/>
        <v>2023_02_20_a</v>
      </c>
      <c r="AT325" s="136"/>
      <c r="AU325" s="135" t="str">
        <f t="shared" si="142"/>
        <v>2023</v>
      </c>
      <c r="AV325" s="135" t="str">
        <f t="shared" si="143"/>
        <v>02</v>
      </c>
      <c r="AW325" s="135" t="str">
        <f t="shared" si="144"/>
        <v>20</v>
      </c>
      <c r="AX325" s="135">
        <f t="shared" si="145"/>
        <v>44977</v>
      </c>
      <c r="AY325" s="137"/>
      <c r="AZ325" s="138">
        <f t="shared" si="146"/>
        <v>44977</v>
      </c>
      <c r="BA325" s="135" t="b">
        <f t="shared" si="147"/>
        <v>1</v>
      </c>
      <c r="BB325" s="135">
        <f t="shared" si="148"/>
        <v>44977</v>
      </c>
      <c r="BC325" s="135" t="str">
        <f t="shared" si="149"/>
        <v>no</v>
      </c>
      <c r="BD325" s="135" t="b">
        <f t="shared" si="150"/>
        <v>0</v>
      </c>
      <c r="BE325" s="139" t="s">
        <v>59</v>
      </c>
      <c r="BF325" s="350"/>
    </row>
    <row r="326" spans="1:58" s="331" customFormat="1" ht="154">
      <c r="A326" s="338"/>
      <c r="B326" s="336" t="s">
        <v>879</v>
      </c>
      <c r="C326" s="338"/>
      <c r="D326" s="338"/>
      <c r="E326" s="338"/>
      <c r="F326" s="337" t="s">
        <v>713</v>
      </c>
      <c r="G326" s="125">
        <v>45005</v>
      </c>
      <c r="H326" s="339">
        <v>45005</v>
      </c>
      <c r="I326" s="339"/>
      <c r="J326" s="339">
        <v>45017</v>
      </c>
      <c r="K326" s="339"/>
      <c r="L326" s="337"/>
      <c r="M326" s="337"/>
      <c r="N326" s="337"/>
      <c r="O326" s="337"/>
      <c r="P326" s="337"/>
      <c r="Q326" s="338" t="s">
        <v>49</v>
      </c>
      <c r="R326" s="338" t="s">
        <v>877</v>
      </c>
      <c r="S326" s="338">
        <f t="shared" si="152"/>
        <v>70</v>
      </c>
      <c r="T326" s="338"/>
      <c r="U326" s="337">
        <v>70</v>
      </c>
      <c r="V326" s="340">
        <v>0</v>
      </c>
      <c r="W326" s="338"/>
      <c r="X326" s="338"/>
      <c r="Y326" s="338"/>
      <c r="Z326" s="338"/>
      <c r="AA326" s="338"/>
      <c r="AB326" s="338"/>
      <c r="AC326" s="338"/>
      <c r="AD326" s="338"/>
      <c r="AE326" s="338"/>
      <c r="AF326" s="338"/>
      <c r="AG326" s="332" t="s">
        <v>85</v>
      </c>
      <c r="AH326" s="338" t="s">
        <v>86</v>
      </c>
      <c r="AI326" s="338"/>
      <c r="AJ326" s="338"/>
      <c r="AK326" s="338"/>
      <c r="AL326" s="341"/>
      <c r="AM326" s="338"/>
      <c r="AN326" s="338"/>
      <c r="AO326" s="340"/>
      <c r="AP326" s="340"/>
      <c r="AQ326" s="474"/>
      <c r="AR326" s="135">
        <f>COUNTIF(B:B,B326)</f>
        <v>1</v>
      </c>
      <c r="AS326" s="135" t="str">
        <f t="shared" si="141"/>
        <v>2023_03_20_a</v>
      </c>
      <c r="AT326" s="136"/>
      <c r="AU326" s="135" t="str">
        <f t="shared" si="142"/>
        <v>2023</v>
      </c>
      <c r="AV326" s="135" t="str">
        <f t="shared" si="143"/>
        <v>03</v>
      </c>
      <c r="AW326" s="135" t="str">
        <f t="shared" si="144"/>
        <v>20</v>
      </c>
      <c r="AX326" s="135">
        <f t="shared" si="145"/>
        <v>45005</v>
      </c>
      <c r="AY326" s="137"/>
      <c r="AZ326" s="138">
        <f t="shared" si="146"/>
        <v>45005</v>
      </c>
      <c r="BA326" s="135" t="b">
        <f t="shared" si="147"/>
        <v>1</v>
      </c>
      <c r="BB326" s="135">
        <f t="shared" si="148"/>
        <v>45005</v>
      </c>
      <c r="BC326" s="135" t="str">
        <f t="shared" si="149"/>
        <v>no</v>
      </c>
      <c r="BD326" s="135" t="b">
        <f t="shared" si="150"/>
        <v>0</v>
      </c>
      <c r="BE326" s="139" t="s">
        <v>59</v>
      </c>
      <c r="BF326" s="350"/>
    </row>
    <row r="327" spans="1:58" s="331" customFormat="1" ht="154">
      <c r="A327" s="338"/>
      <c r="B327" s="336" t="s">
        <v>880</v>
      </c>
      <c r="C327" s="338"/>
      <c r="D327" s="338"/>
      <c r="E327" s="338"/>
      <c r="F327" s="337" t="s">
        <v>713</v>
      </c>
      <c r="G327" s="125">
        <v>45033</v>
      </c>
      <c r="H327" s="339">
        <v>45033</v>
      </c>
      <c r="I327" s="339"/>
      <c r="J327" s="339">
        <v>45045</v>
      </c>
      <c r="K327" s="339"/>
      <c r="L327" s="337"/>
      <c r="M327" s="337"/>
      <c r="N327" s="337"/>
      <c r="O327" s="337"/>
      <c r="P327" s="337"/>
      <c r="Q327" s="338" t="s">
        <v>82</v>
      </c>
      <c r="R327" s="338" t="s">
        <v>877</v>
      </c>
      <c r="S327" s="338">
        <f t="shared" si="152"/>
        <v>70</v>
      </c>
      <c r="T327" s="338"/>
      <c r="U327" s="337">
        <v>70</v>
      </c>
      <c r="V327" s="340">
        <v>0</v>
      </c>
      <c r="W327" s="338"/>
      <c r="X327" s="338"/>
      <c r="Y327" s="338"/>
      <c r="Z327" s="338"/>
      <c r="AA327" s="338"/>
      <c r="AB327" s="338"/>
      <c r="AC327" s="338"/>
      <c r="AD327" s="338"/>
      <c r="AE327" s="338"/>
      <c r="AF327" s="338"/>
      <c r="AG327" s="332" t="s">
        <v>85</v>
      </c>
      <c r="AH327" s="338" t="s">
        <v>86</v>
      </c>
      <c r="AI327" s="338"/>
      <c r="AJ327" s="338"/>
      <c r="AK327" s="338"/>
      <c r="AL327" s="341"/>
      <c r="AM327" s="338"/>
      <c r="AN327" s="338"/>
      <c r="AO327" s="340"/>
      <c r="AP327" s="340"/>
      <c r="AQ327" s="474"/>
      <c r="AR327" s="135">
        <f>COUNTIF(B:B,B327)</f>
        <v>1</v>
      </c>
      <c r="AS327" s="135" t="str">
        <f t="shared" si="141"/>
        <v>2023_04_17_a</v>
      </c>
      <c r="AT327" s="136"/>
      <c r="AU327" s="135" t="str">
        <f t="shared" si="142"/>
        <v>2023</v>
      </c>
      <c r="AV327" s="135" t="str">
        <f t="shared" si="143"/>
        <v>04</v>
      </c>
      <c r="AW327" s="135" t="str">
        <f t="shared" si="144"/>
        <v>17</v>
      </c>
      <c r="AX327" s="135">
        <f t="shared" si="145"/>
        <v>45033</v>
      </c>
      <c r="AY327" s="137"/>
      <c r="AZ327" s="138">
        <f t="shared" si="146"/>
        <v>45033</v>
      </c>
      <c r="BA327" s="135" t="b">
        <f t="shared" si="147"/>
        <v>1</v>
      </c>
      <c r="BB327" s="135">
        <f t="shared" si="148"/>
        <v>45033</v>
      </c>
      <c r="BC327" s="135" t="str">
        <f t="shared" si="149"/>
        <v>no</v>
      </c>
      <c r="BD327" s="135" t="b">
        <f t="shared" si="150"/>
        <v>0</v>
      </c>
      <c r="BE327" s="139" t="s">
        <v>59</v>
      </c>
      <c r="BF327" s="350"/>
    </row>
    <row r="328" spans="1:58" s="331" customFormat="1" ht="154">
      <c r="A328" s="338"/>
      <c r="B328" s="336" t="s">
        <v>881</v>
      </c>
      <c r="C328" s="338"/>
      <c r="D328" s="338"/>
      <c r="E328" s="338"/>
      <c r="F328" s="337" t="s">
        <v>713</v>
      </c>
      <c r="G328" s="125">
        <v>45061</v>
      </c>
      <c r="H328" s="339">
        <v>45061</v>
      </c>
      <c r="I328" s="339"/>
      <c r="J328" s="339">
        <v>45073</v>
      </c>
      <c r="K328" s="339"/>
      <c r="L328" s="337"/>
      <c r="M328" s="337"/>
      <c r="N328" s="337"/>
      <c r="O328" s="337"/>
      <c r="P328" s="337"/>
      <c r="Q328" s="338" t="s">
        <v>82</v>
      </c>
      <c r="R328" s="338" t="s">
        <v>877</v>
      </c>
      <c r="S328" s="338">
        <f t="shared" si="152"/>
        <v>70</v>
      </c>
      <c r="T328" s="338"/>
      <c r="U328" s="337">
        <v>70</v>
      </c>
      <c r="V328" s="340">
        <v>0</v>
      </c>
      <c r="W328" s="338"/>
      <c r="X328" s="338"/>
      <c r="Y328" s="338"/>
      <c r="Z328" s="338"/>
      <c r="AA328" s="338"/>
      <c r="AB328" s="338"/>
      <c r="AC328" s="338"/>
      <c r="AD328" s="338"/>
      <c r="AE328" s="338"/>
      <c r="AF328" s="338"/>
      <c r="AG328" s="332" t="s">
        <v>85</v>
      </c>
      <c r="AH328" s="338" t="s">
        <v>86</v>
      </c>
      <c r="AI328" s="338"/>
      <c r="AJ328" s="338"/>
      <c r="AK328" s="338"/>
      <c r="AL328" s="341"/>
      <c r="AM328" s="338"/>
      <c r="AN328" s="338"/>
      <c r="AO328" s="340"/>
      <c r="AP328" s="340"/>
      <c r="AQ328" s="474"/>
      <c r="AR328" s="135">
        <f>COUNTIF(B:B,B328)</f>
        <v>1</v>
      </c>
      <c r="AS328" s="135" t="str">
        <f t="shared" si="141"/>
        <v>2023_05_15_a</v>
      </c>
      <c r="AT328" s="136"/>
      <c r="AU328" s="135" t="str">
        <f t="shared" si="142"/>
        <v>2023</v>
      </c>
      <c r="AV328" s="135" t="str">
        <f t="shared" si="143"/>
        <v>05</v>
      </c>
      <c r="AW328" s="135" t="str">
        <f t="shared" si="144"/>
        <v>15</v>
      </c>
      <c r="AX328" s="135">
        <f t="shared" si="145"/>
        <v>45061</v>
      </c>
      <c r="AY328" s="137"/>
      <c r="AZ328" s="138">
        <f t="shared" si="146"/>
        <v>45061</v>
      </c>
      <c r="BA328" s="135" t="b">
        <f t="shared" si="147"/>
        <v>1</v>
      </c>
      <c r="BB328" s="135">
        <f t="shared" si="148"/>
        <v>45061</v>
      </c>
      <c r="BC328" s="135" t="str">
        <f t="shared" si="149"/>
        <v>no</v>
      </c>
      <c r="BD328" s="135" t="b">
        <f t="shared" si="150"/>
        <v>0</v>
      </c>
      <c r="BE328" s="139" t="s">
        <v>59</v>
      </c>
      <c r="BF328" s="350"/>
    </row>
    <row r="329" spans="1:58" s="331" customFormat="1" ht="154">
      <c r="A329" s="338"/>
      <c r="B329" s="336" t="s">
        <v>882</v>
      </c>
      <c r="C329" s="338"/>
      <c r="D329" s="338"/>
      <c r="E329" s="338"/>
      <c r="F329" s="337" t="s">
        <v>713</v>
      </c>
      <c r="G329" s="125">
        <v>45096</v>
      </c>
      <c r="H329" s="339">
        <v>45096</v>
      </c>
      <c r="I329" s="339"/>
      <c r="J329" s="339">
        <v>45108</v>
      </c>
      <c r="K329" s="339"/>
      <c r="L329" s="337"/>
      <c r="M329" s="337"/>
      <c r="N329" s="337"/>
      <c r="O329" s="337"/>
      <c r="P329" s="337"/>
      <c r="Q329" s="338" t="s">
        <v>82</v>
      </c>
      <c r="R329" s="338" t="s">
        <v>877</v>
      </c>
      <c r="S329" s="338">
        <f t="shared" si="152"/>
        <v>70</v>
      </c>
      <c r="T329" s="338"/>
      <c r="U329" s="337">
        <v>70</v>
      </c>
      <c r="V329" s="340">
        <v>0</v>
      </c>
      <c r="W329" s="338"/>
      <c r="X329" s="338"/>
      <c r="Y329" s="338"/>
      <c r="Z329" s="338"/>
      <c r="AA329" s="338"/>
      <c r="AB329" s="338"/>
      <c r="AC329" s="338"/>
      <c r="AD329" s="338"/>
      <c r="AE329" s="338"/>
      <c r="AF329" s="338"/>
      <c r="AG329" s="332" t="s">
        <v>85</v>
      </c>
      <c r="AH329" s="338" t="s">
        <v>86</v>
      </c>
      <c r="AI329" s="338"/>
      <c r="AJ329" s="338"/>
      <c r="AK329" s="338"/>
      <c r="AL329" s="341"/>
      <c r="AM329" s="338"/>
      <c r="AN329" s="338"/>
      <c r="AO329" s="340"/>
      <c r="AP329" s="340"/>
      <c r="AQ329" s="474"/>
      <c r="AR329" s="135">
        <f>COUNTIF(B:B,B329)</f>
        <v>1</v>
      </c>
      <c r="AS329" s="135" t="str">
        <f t="shared" si="141"/>
        <v>2023_06_19_a</v>
      </c>
      <c r="AT329" s="136"/>
      <c r="AU329" s="135" t="str">
        <f t="shared" si="142"/>
        <v>2023</v>
      </c>
      <c r="AV329" s="135" t="str">
        <f t="shared" si="143"/>
        <v>06</v>
      </c>
      <c r="AW329" s="135" t="str">
        <f t="shared" si="144"/>
        <v>19</v>
      </c>
      <c r="AX329" s="135">
        <f t="shared" si="145"/>
        <v>45096</v>
      </c>
      <c r="AY329" s="137"/>
      <c r="AZ329" s="138">
        <f t="shared" si="146"/>
        <v>45096</v>
      </c>
      <c r="BA329" s="135" t="b">
        <f t="shared" si="147"/>
        <v>1</v>
      </c>
      <c r="BB329" s="135">
        <f t="shared" si="148"/>
        <v>45096</v>
      </c>
      <c r="BC329" s="135" t="str">
        <f t="shared" si="149"/>
        <v>no</v>
      </c>
      <c r="BD329" s="135" t="b">
        <f t="shared" si="150"/>
        <v>0</v>
      </c>
      <c r="BE329" s="139" t="s">
        <v>59</v>
      </c>
      <c r="BF329" s="350"/>
    </row>
    <row r="330" spans="1:58" s="331" customFormat="1" ht="154">
      <c r="A330" s="338"/>
      <c r="B330" s="336" t="s">
        <v>883</v>
      </c>
      <c r="C330" s="338"/>
      <c r="D330" s="338"/>
      <c r="E330" s="338"/>
      <c r="F330" s="337" t="s">
        <v>713</v>
      </c>
      <c r="G330" s="125">
        <v>45124</v>
      </c>
      <c r="H330" s="339">
        <v>45124</v>
      </c>
      <c r="I330" s="339"/>
      <c r="J330" s="339">
        <v>45136</v>
      </c>
      <c r="K330" s="339"/>
      <c r="L330" s="337"/>
      <c r="M330" s="337"/>
      <c r="N330" s="337"/>
      <c r="O330" s="337"/>
      <c r="P330" s="337"/>
      <c r="Q330" s="338" t="s">
        <v>93</v>
      </c>
      <c r="R330" s="338" t="s">
        <v>877</v>
      </c>
      <c r="S330" s="338">
        <f t="shared" si="152"/>
        <v>70</v>
      </c>
      <c r="T330" s="338"/>
      <c r="U330" s="337">
        <v>70</v>
      </c>
      <c r="V330" s="340">
        <v>0</v>
      </c>
      <c r="W330" s="338"/>
      <c r="X330" s="338"/>
      <c r="Y330" s="338"/>
      <c r="Z330" s="338"/>
      <c r="AA330" s="338"/>
      <c r="AB330" s="338"/>
      <c r="AC330" s="338"/>
      <c r="AD330" s="338"/>
      <c r="AE330" s="338"/>
      <c r="AF330" s="338"/>
      <c r="AG330" s="332" t="s">
        <v>85</v>
      </c>
      <c r="AH330" s="338" t="s">
        <v>86</v>
      </c>
      <c r="AI330" s="338"/>
      <c r="AJ330" s="338"/>
      <c r="AK330" s="338"/>
      <c r="AL330" s="341"/>
      <c r="AM330" s="338"/>
      <c r="AN330" s="338"/>
      <c r="AO330" s="340"/>
      <c r="AP330" s="340"/>
      <c r="AQ330" s="474"/>
      <c r="AR330" s="135">
        <f>COUNTIF(B:B,B330)</f>
        <v>1</v>
      </c>
      <c r="AS330" s="135" t="str">
        <f t="shared" si="141"/>
        <v>2023_07_17_a</v>
      </c>
      <c r="AT330" s="136"/>
      <c r="AU330" s="135" t="str">
        <f t="shared" si="142"/>
        <v>2023</v>
      </c>
      <c r="AV330" s="135" t="str">
        <f t="shared" si="143"/>
        <v>07</v>
      </c>
      <c r="AW330" s="135" t="str">
        <f t="shared" si="144"/>
        <v>17</v>
      </c>
      <c r="AX330" s="135">
        <f t="shared" si="145"/>
        <v>45124</v>
      </c>
      <c r="AY330" s="137"/>
      <c r="AZ330" s="138">
        <f t="shared" si="146"/>
        <v>45124</v>
      </c>
      <c r="BA330" s="135" t="b">
        <f t="shared" si="147"/>
        <v>1</v>
      </c>
      <c r="BB330" s="135">
        <f t="shared" si="148"/>
        <v>45124</v>
      </c>
      <c r="BC330" s="135" t="str">
        <f t="shared" si="149"/>
        <v>no</v>
      </c>
      <c r="BD330" s="135" t="b">
        <f t="shared" si="150"/>
        <v>0</v>
      </c>
      <c r="BE330" s="139" t="s">
        <v>59</v>
      </c>
      <c r="BF330" s="350"/>
    </row>
    <row r="331" spans="1:58" s="331" customFormat="1" ht="154">
      <c r="A331" s="338"/>
      <c r="B331" s="336" t="s">
        <v>884</v>
      </c>
      <c r="C331" s="338"/>
      <c r="D331" s="338"/>
      <c r="E331" s="338"/>
      <c r="F331" s="337" t="s">
        <v>713</v>
      </c>
      <c r="G331" s="125">
        <v>45159</v>
      </c>
      <c r="H331" s="339">
        <v>45159</v>
      </c>
      <c r="I331" s="339"/>
      <c r="J331" s="339">
        <v>45171</v>
      </c>
      <c r="K331" s="339"/>
      <c r="L331" s="337"/>
      <c r="M331" s="337"/>
      <c r="N331" s="337"/>
      <c r="O331" s="337"/>
      <c r="P331" s="337"/>
      <c r="Q331" s="338" t="s">
        <v>93</v>
      </c>
      <c r="R331" s="338" t="s">
        <v>877</v>
      </c>
      <c r="S331" s="338">
        <f t="shared" si="152"/>
        <v>70</v>
      </c>
      <c r="T331" s="338"/>
      <c r="U331" s="337">
        <v>70</v>
      </c>
      <c r="V331" s="340">
        <v>0</v>
      </c>
      <c r="W331" s="338"/>
      <c r="X331" s="338"/>
      <c r="Y331" s="338"/>
      <c r="Z331" s="338"/>
      <c r="AA331" s="338"/>
      <c r="AB331" s="338"/>
      <c r="AC331" s="338"/>
      <c r="AD331" s="338"/>
      <c r="AE331" s="338"/>
      <c r="AF331" s="338"/>
      <c r="AG331" s="332" t="s">
        <v>85</v>
      </c>
      <c r="AH331" s="338" t="s">
        <v>86</v>
      </c>
      <c r="AI331" s="338"/>
      <c r="AJ331" s="338"/>
      <c r="AK331" s="338"/>
      <c r="AL331" s="341"/>
      <c r="AM331" s="338"/>
      <c r="AN331" s="338"/>
      <c r="AO331" s="340"/>
      <c r="AP331" s="340"/>
      <c r="AQ331" s="474"/>
      <c r="AR331" s="135">
        <f>COUNTIF(B:B,B331)</f>
        <v>1</v>
      </c>
      <c r="AS331" s="135" t="str">
        <f t="shared" si="141"/>
        <v>2023_08_21_a</v>
      </c>
      <c r="AT331" s="136"/>
      <c r="AU331" s="135" t="str">
        <f t="shared" si="142"/>
        <v>2023</v>
      </c>
      <c r="AV331" s="135" t="str">
        <f t="shared" si="143"/>
        <v>08</v>
      </c>
      <c r="AW331" s="135" t="str">
        <f t="shared" si="144"/>
        <v>21</v>
      </c>
      <c r="AX331" s="135">
        <f t="shared" si="145"/>
        <v>45159</v>
      </c>
      <c r="AY331" s="137"/>
      <c r="AZ331" s="138">
        <f t="shared" si="146"/>
        <v>45159</v>
      </c>
      <c r="BA331" s="135" t="b">
        <f t="shared" si="147"/>
        <v>1</v>
      </c>
      <c r="BB331" s="135">
        <f t="shared" si="148"/>
        <v>45159</v>
      </c>
      <c r="BC331" s="135" t="str">
        <f t="shared" si="149"/>
        <v>no</v>
      </c>
      <c r="BD331" s="135" t="b">
        <f t="shared" si="150"/>
        <v>0</v>
      </c>
      <c r="BE331" s="139" t="s">
        <v>59</v>
      </c>
      <c r="BF331" s="350"/>
    </row>
    <row r="332" spans="1:58" s="331" customFormat="1" ht="154">
      <c r="A332" s="338"/>
      <c r="B332" s="336" t="s">
        <v>885</v>
      </c>
      <c r="C332" s="338"/>
      <c r="D332" s="338"/>
      <c r="E332" s="338"/>
      <c r="F332" s="337" t="s">
        <v>713</v>
      </c>
      <c r="G332" s="125">
        <v>45187</v>
      </c>
      <c r="H332" s="339">
        <v>45187</v>
      </c>
      <c r="I332" s="339"/>
      <c r="J332" s="339">
        <v>45199</v>
      </c>
      <c r="K332" s="339"/>
      <c r="L332" s="337"/>
      <c r="M332" s="337"/>
      <c r="N332" s="337"/>
      <c r="O332" s="337"/>
      <c r="P332" s="337"/>
      <c r="Q332" s="338" t="s">
        <v>93</v>
      </c>
      <c r="R332" s="338" t="s">
        <v>877</v>
      </c>
      <c r="S332" s="338">
        <f t="shared" si="152"/>
        <v>70</v>
      </c>
      <c r="T332" s="338"/>
      <c r="U332" s="337">
        <v>70</v>
      </c>
      <c r="V332" s="340">
        <v>0</v>
      </c>
      <c r="W332" s="338"/>
      <c r="X332" s="338"/>
      <c r="Y332" s="338"/>
      <c r="Z332" s="338"/>
      <c r="AA332" s="338"/>
      <c r="AB332" s="338"/>
      <c r="AC332" s="338"/>
      <c r="AD332" s="338"/>
      <c r="AE332" s="338"/>
      <c r="AF332" s="338"/>
      <c r="AG332" s="332" t="s">
        <v>85</v>
      </c>
      <c r="AH332" s="338" t="s">
        <v>86</v>
      </c>
      <c r="AI332" s="338"/>
      <c r="AJ332" s="338"/>
      <c r="AK332" s="338"/>
      <c r="AL332" s="341"/>
      <c r="AM332" s="338"/>
      <c r="AN332" s="338"/>
      <c r="AO332" s="340"/>
      <c r="AP332" s="340"/>
      <c r="AQ332" s="474"/>
      <c r="AR332" s="135">
        <f>COUNTIF(B:B,B332)</f>
        <v>1</v>
      </c>
      <c r="AS332" s="135" t="str">
        <f t="shared" si="141"/>
        <v>2023_09_18_a</v>
      </c>
      <c r="AT332" s="136"/>
      <c r="AU332" s="135" t="str">
        <f t="shared" si="142"/>
        <v>2023</v>
      </c>
      <c r="AV332" s="135" t="str">
        <f t="shared" si="143"/>
        <v>09</v>
      </c>
      <c r="AW332" s="135" t="str">
        <f t="shared" si="144"/>
        <v>18</v>
      </c>
      <c r="AX332" s="135">
        <f t="shared" si="145"/>
        <v>45187</v>
      </c>
      <c r="AY332" s="137"/>
      <c r="AZ332" s="138">
        <f t="shared" si="146"/>
        <v>45187</v>
      </c>
      <c r="BA332" s="135" t="b">
        <f t="shared" si="147"/>
        <v>1</v>
      </c>
      <c r="BB332" s="135">
        <f t="shared" si="148"/>
        <v>45187</v>
      </c>
      <c r="BC332" s="135" t="str">
        <f t="shared" si="149"/>
        <v>no</v>
      </c>
      <c r="BD332" s="135" t="b">
        <f t="shared" si="150"/>
        <v>0</v>
      </c>
      <c r="BE332" s="139" t="s">
        <v>59</v>
      </c>
      <c r="BF332" s="350"/>
    </row>
    <row r="333" spans="1:58" s="331" customFormat="1" ht="154">
      <c r="A333" s="338"/>
      <c r="B333" s="336" t="s">
        <v>886</v>
      </c>
      <c r="C333" s="338"/>
      <c r="D333" s="338"/>
      <c r="E333" s="338"/>
      <c r="F333" s="337" t="s">
        <v>713</v>
      </c>
      <c r="G333" s="125">
        <v>45215</v>
      </c>
      <c r="H333" s="339">
        <v>45215</v>
      </c>
      <c r="I333" s="339"/>
      <c r="J333" s="339">
        <v>45227</v>
      </c>
      <c r="K333" s="339"/>
      <c r="L333" s="337"/>
      <c r="M333" s="337"/>
      <c r="N333" s="337"/>
      <c r="O333" s="337"/>
      <c r="P333" s="337"/>
      <c r="Q333" s="338" t="s">
        <v>106</v>
      </c>
      <c r="R333" s="338" t="s">
        <v>877</v>
      </c>
      <c r="S333" s="338">
        <f t="shared" si="152"/>
        <v>70</v>
      </c>
      <c r="T333" s="338"/>
      <c r="U333" s="337">
        <v>70</v>
      </c>
      <c r="V333" s="340">
        <v>0</v>
      </c>
      <c r="W333" s="338"/>
      <c r="X333" s="338"/>
      <c r="Y333" s="338"/>
      <c r="Z333" s="338"/>
      <c r="AA333" s="338"/>
      <c r="AB333" s="338"/>
      <c r="AC333" s="338"/>
      <c r="AD333" s="338"/>
      <c r="AE333" s="338"/>
      <c r="AF333" s="338"/>
      <c r="AG333" s="332" t="s">
        <v>85</v>
      </c>
      <c r="AH333" s="338" t="s">
        <v>86</v>
      </c>
      <c r="AI333" s="338"/>
      <c r="AJ333" s="338"/>
      <c r="AK333" s="338"/>
      <c r="AL333" s="341"/>
      <c r="AM333" s="338"/>
      <c r="AN333" s="338"/>
      <c r="AO333" s="340"/>
      <c r="AP333" s="340"/>
      <c r="AQ333" s="474"/>
      <c r="AR333" s="135">
        <f>COUNTIF(B:B,B333)</f>
        <v>1</v>
      </c>
      <c r="AS333" s="135" t="str">
        <f t="shared" si="141"/>
        <v>2023_10_16_a</v>
      </c>
      <c r="AT333" s="136"/>
      <c r="AU333" s="135" t="str">
        <f t="shared" si="142"/>
        <v>2023</v>
      </c>
      <c r="AV333" s="135" t="str">
        <f t="shared" si="143"/>
        <v>10</v>
      </c>
      <c r="AW333" s="135" t="str">
        <f t="shared" si="144"/>
        <v>16</v>
      </c>
      <c r="AX333" s="135">
        <f t="shared" si="145"/>
        <v>45215</v>
      </c>
      <c r="AY333" s="137"/>
      <c r="AZ333" s="138">
        <f t="shared" si="146"/>
        <v>45215</v>
      </c>
      <c r="BA333" s="135" t="b">
        <f t="shared" si="147"/>
        <v>1</v>
      </c>
      <c r="BB333" s="135">
        <f t="shared" si="148"/>
        <v>45215</v>
      </c>
      <c r="BC333" s="135" t="str">
        <f t="shared" si="149"/>
        <v>no</v>
      </c>
      <c r="BD333" s="135" t="b">
        <f t="shared" si="150"/>
        <v>0</v>
      </c>
      <c r="BE333" s="139" t="s">
        <v>59</v>
      </c>
      <c r="BF333" s="350"/>
    </row>
    <row r="334" spans="1:58" s="331" customFormat="1" ht="154">
      <c r="A334" s="338"/>
      <c r="B334" s="336" t="s">
        <v>887</v>
      </c>
      <c r="C334" s="338"/>
      <c r="D334" s="338"/>
      <c r="E334" s="338"/>
      <c r="F334" s="337" t="s">
        <v>713</v>
      </c>
      <c r="G334" s="125">
        <v>45250</v>
      </c>
      <c r="H334" s="339">
        <v>45250</v>
      </c>
      <c r="I334" s="339"/>
      <c r="J334" s="339">
        <v>45262</v>
      </c>
      <c r="K334" s="339"/>
      <c r="L334" s="337"/>
      <c r="M334" s="337"/>
      <c r="N334" s="337"/>
      <c r="O334" s="337"/>
      <c r="P334" s="337"/>
      <c r="Q334" s="338" t="s">
        <v>106</v>
      </c>
      <c r="R334" s="338" t="s">
        <v>877</v>
      </c>
      <c r="S334" s="338">
        <f t="shared" si="152"/>
        <v>70</v>
      </c>
      <c r="T334" s="338"/>
      <c r="U334" s="337">
        <v>70</v>
      </c>
      <c r="V334" s="340">
        <v>0</v>
      </c>
      <c r="W334" s="338"/>
      <c r="X334" s="338"/>
      <c r="Y334" s="338"/>
      <c r="Z334" s="338"/>
      <c r="AA334" s="338"/>
      <c r="AB334" s="338"/>
      <c r="AC334" s="338"/>
      <c r="AD334" s="338"/>
      <c r="AE334" s="338"/>
      <c r="AF334" s="338"/>
      <c r="AG334" s="332" t="s">
        <v>85</v>
      </c>
      <c r="AH334" s="338" t="s">
        <v>86</v>
      </c>
      <c r="AI334" s="338"/>
      <c r="AJ334" s="338"/>
      <c r="AK334" s="338"/>
      <c r="AL334" s="341"/>
      <c r="AM334" s="338"/>
      <c r="AN334" s="338"/>
      <c r="AO334" s="340"/>
      <c r="AP334" s="340"/>
      <c r="AQ334" s="474"/>
      <c r="AR334" s="135">
        <f>COUNTIF(B:B,B334)</f>
        <v>1</v>
      </c>
      <c r="AS334" s="135" t="str">
        <f t="shared" si="141"/>
        <v>2023_11_20_a</v>
      </c>
      <c r="AT334" s="136"/>
      <c r="AU334" s="135" t="str">
        <f t="shared" si="142"/>
        <v>2023</v>
      </c>
      <c r="AV334" s="135" t="str">
        <f t="shared" si="143"/>
        <v>11</v>
      </c>
      <c r="AW334" s="135" t="str">
        <f t="shared" si="144"/>
        <v>20</v>
      </c>
      <c r="AX334" s="135">
        <f t="shared" si="145"/>
        <v>45250</v>
      </c>
      <c r="AY334" s="137"/>
      <c r="AZ334" s="138">
        <f t="shared" si="146"/>
        <v>45250</v>
      </c>
      <c r="BA334" s="135" t="b">
        <f t="shared" si="147"/>
        <v>1</v>
      </c>
      <c r="BB334" s="135">
        <f t="shared" si="148"/>
        <v>45250</v>
      </c>
      <c r="BC334" s="135" t="str">
        <f t="shared" si="149"/>
        <v>no</v>
      </c>
      <c r="BD334" s="135" t="b">
        <f t="shared" si="150"/>
        <v>0</v>
      </c>
      <c r="BE334" s="139" t="s">
        <v>59</v>
      </c>
      <c r="BF334" s="350"/>
    </row>
    <row r="335" spans="1:58" s="331" customFormat="1" ht="154">
      <c r="A335" s="338"/>
      <c r="B335" s="336" t="s">
        <v>888</v>
      </c>
      <c r="C335" s="338"/>
      <c r="D335" s="338"/>
      <c r="E335" s="338"/>
      <c r="F335" s="337" t="s">
        <v>713</v>
      </c>
      <c r="G335" s="125">
        <v>45278</v>
      </c>
      <c r="H335" s="339">
        <v>45278</v>
      </c>
      <c r="I335" s="339"/>
      <c r="J335" s="339">
        <v>45290</v>
      </c>
      <c r="K335" s="339"/>
      <c r="L335" s="337"/>
      <c r="M335" s="337"/>
      <c r="N335" s="337"/>
      <c r="O335" s="337"/>
      <c r="P335" s="337"/>
      <c r="Q335" s="338" t="s">
        <v>106</v>
      </c>
      <c r="R335" s="338" t="s">
        <v>877</v>
      </c>
      <c r="S335" s="338">
        <f t="shared" si="152"/>
        <v>70</v>
      </c>
      <c r="T335" s="338"/>
      <c r="U335" s="337">
        <v>70</v>
      </c>
      <c r="V335" s="340">
        <v>0</v>
      </c>
      <c r="W335" s="338"/>
      <c r="X335" s="338"/>
      <c r="Y335" s="338"/>
      <c r="Z335" s="338"/>
      <c r="AA335" s="338"/>
      <c r="AB335" s="338"/>
      <c r="AC335" s="338"/>
      <c r="AD335" s="338"/>
      <c r="AE335" s="338"/>
      <c r="AF335" s="338"/>
      <c r="AG335" s="332" t="s">
        <v>85</v>
      </c>
      <c r="AH335" s="338" t="s">
        <v>86</v>
      </c>
      <c r="AI335" s="338"/>
      <c r="AJ335" s="338"/>
      <c r="AK335" s="338"/>
      <c r="AL335" s="341"/>
      <c r="AM335" s="338"/>
      <c r="AN335" s="338"/>
      <c r="AO335" s="340"/>
      <c r="AP335" s="340"/>
      <c r="AQ335" s="474"/>
      <c r="AR335" s="135">
        <f>COUNTIF(B:B,B335)</f>
        <v>1</v>
      </c>
      <c r="AS335" s="135" t="str">
        <f t="shared" si="141"/>
        <v>2023_12_18_a</v>
      </c>
      <c r="AT335" s="136"/>
      <c r="AU335" s="135" t="str">
        <f t="shared" si="142"/>
        <v>2023</v>
      </c>
      <c r="AV335" s="135" t="str">
        <f t="shared" si="143"/>
        <v>12</v>
      </c>
      <c r="AW335" s="135" t="str">
        <f t="shared" si="144"/>
        <v>18</v>
      </c>
      <c r="AX335" s="135">
        <f t="shared" si="145"/>
        <v>45278</v>
      </c>
      <c r="AY335" s="137"/>
      <c r="AZ335" s="138">
        <f t="shared" si="146"/>
        <v>45278</v>
      </c>
      <c r="BA335" s="135" t="b">
        <f t="shared" si="147"/>
        <v>1</v>
      </c>
      <c r="BB335" s="135">
        <f t="shared" si="148"/>
        <v>45278</v>
      </c>
      <c r="BC335" s="135" t="str">
        <f t="shared" si="149"/>
        <v>no</v>
      </c>
      <c r="BD335" s="135" t="b">
        <f t="shared" si="150"/>
        <v>0</v>
      </c>
      <c r="BE335" s="139" t="s">
        <v>59</v>
      </c>
      <c r="BF335" s="350"/>
    </row>
    <row r="336" spans="1:58" s="331" customFormat="1" ht="154">
      <c r="A336" s="338"/>
      <c r="B336" s="336" t="s">
        <v>890</v>
      </c>
      <c r="C336" s="338"/>
      <c r="D336" s="338"/>
      <c r="E336" s="338"/>
      <c r="F336" s="337" t="s">
        <v>713</v>
      </c>
      <c r="G336" s="125">
        <v>44977</v>
      </c>
      <c r="H336" s="339">
        <v>44977</v>
      </c>
      <c r="I336" s="339"/>
      <c r="J336" s="339">
        <v>44989</v>
      </c>
      <c r="K336" s="339"/>
      <c r="L336" s="337"/>
      <c r="M336" s="337"/>
      <c r="N336" s="337"/>
      <c r="O336" s="337"/>
      <c r="P336" s="337"/>
      <c r="Q336" s="338" t="s">
        <v>49</v>
      </c>
      <c r="R336" s="338" t="s">
        <v>889</v>
      </c>
      <c r="S336" s="338">
        <f t="shared" si="152"/>
        <v>25</v>
      </c>
      <c r="T336" s="338"/>
      <c r="U336" s="337">
        <v>25</v>
      </c>
      <c r="V336" s="340">
        <v>0</v>
      </c>
      <c r="W336" s="338"/>
      <c r="X336" s="338"/>
      <c r="Y336" s="338"/>
      <c r="Z336" s="338"/>
      <c r="AA336" s="338"/>
      <c r="AB336" s="338"/>
      <c r="AC336" s="338"/>
      <c r="AD336" s="338"/>
      <c r="AE336" s="338"/>
      <c r="AF336" s="338"/>
      <c r="AG336" s="332" t="s">
        <v>85</v>
      </c>
      <c r="AH336" s="338" t="s">
        <v>86</v>
      </c>
      <c r="AI336" s="338"/>
      <c r="AJ336" s="338"/>
      <c r="AK336" s="338"/>
      <c r="AL336" s="341"/>
      <c r="AM336" s="338"/>
      <c r="AN336" s="338"/>
      <c r="AO336" s="340"/>
      <c r="AP336" s="340"/>
      <c r="AQ336" s="474"/>
      <c r="AR336" s="135">
        <f>COUNTIF(B:B,B336)</f>
        <v>1</v>
      </c>
      <c r="AS336" s="135" t="str">
        <f t="shared" si="141"/>
        <v>2023_02_20_a</v>
      </c>
      <c r="AT336" s="136"/>
      <c r="AU336" s="135" t="str">
        <f t="shared" si="142"/>
        <v>2023</v>
      </c>
      <c r="AV336" s="135" t="str">
        <f t="shared" si="143"/>
        <v>02</v>
      </c>
      <c r="AW336" s="135" t="str">
        <f t="shared" si="144"/>
        <v>20</v>
      </c>
      <c r="AX336" s="135">
        <f t="shared" si="145"/>
        <v>44977</v>
      </c>
      <c r="AY336" s="137"/>
      <c r="AZ336" s="138">
        <f t="shared" si="146"/>
        <v>44977</v>
      </c>
      <c r="BA336" s="135" t="b">
        <f t="shared" si="147"/>
        <v>1</v>
      </c>
      <c r="BB336" s="135">
        <f t="shared" si="148"/>
        <v>44977</v>
      </c>
      <c r="BC336" s="135" t="str">
        <f t="shared" si="149"/>
        <v>no</v>
      </c>
      <c r="BD336" s="135" t="b">
        <f t="shared" si="150"/>
        <v>0</v>
      </c>
      <c r="BE336" s="139" t="s">
        <v>59</v>
      </c>
      <c r="BF336" s="350"/>
    </row>
    <row r="337" spans="1:58" s="331" customFormat="1" ht="154">
      <c r="A337" s="338"/>
      <c r="B337" s="336" t="s">
        <v>891</v>
      </c>
      <c r="C337" s="338"/>
      <c r="D337" s="338"/>
      <c r="E337" s="338"/>
      <c r="F337" s="337" t="s">
        <v>713</v>
      </c>
      <c r="G337" s="125">
        <v>45005</v>
      </c>
      <c r="H337" s="339">
        <v>45005</v>
      </c>
      <c r="I337" s="339"/>
      <c r="J337" s="339">
        <v>45017</v>
      </c>
      <c r="K337" s="339"/>
      <c r="L337" s="337"/>
      <c r="M337" s="337"/>
      <c r="N337" s="337"/>
      <c r="O337" s="337"/>
      <c r="P337" s="337"/>
      <c r="Q337" s="338" t="s">
        <v>49</v>
      </c>
      <c r="R337" s="338" t="s">
        <v>889</v>
      </c>
      <c r="S337" s="338">
        <f t="shared" si="152"/>
        <v>25</v>
      </c>
      <c r="T337" s="338"/>
      <c r="U337" s="337">
        <v>25</v>
      </c>
      <c r="V337" s="340">
        <v>0</v>
      </c>
      <c r="W337" s="338"/>
      <c r="X337" s="338"/>
      <c r="Y337" s="338"/>
      <c r="Z337" s="338"/>
      <c r="AA337" s="338"/>
      <c r="AB337" s="338"/>
      <c r="AC337" s="338"/>
      <c r="AD337" s="338"/>
      <c r="AE337" s="338"/>
      <c r="AF337" s="338"/>
      <c r="AG337" s="332" t="s">
        <v>85</v>
      </c>
      <c r="AH337" s="338" t="s">
        <v>86</v>
      </c>
      <c r="AI337" s="338"/>
      <c r="AJ337" s="338"/>
      <c r="AK337" s="338"/>
      <c r="AL337" s="341"/>
      <c r="AM337" s="338"/>
      <c r="AN337" s="338"/>
      <c r="AO337" s="340"/>
      <c r="AP337" s="340"/>
      <c r="AQ337" s="474"/>
      <c r="AR337" s="135">
        <f>COUNTIF(B:B,B337)</f>
        <v>1</v>
      </c>
      <c r="AS337" s="135" t="str">
        <f t="shared" ref="AS337:AS400" si="153">IFERROR(RIGHT(B337,16-SEARCH("_", B337)),0)</f>
        <v>2023_03_20_a</v>
      </c>
      <c r="AT337" s="136"/>
      <c r="AU337" s="135" t="str">
        <f t="shared" ref="AU337:AU400" si="154">LEFT(AS337,4)</f>
        <v>2023</v>
      </c>
      <c r="AV337" s="135" t="str">
        <f t="shared" ref="AV337:AV400" si="155">MID(AS337,6,2)</f>
        <v>03</v>
      </c>
      <c r="AW337" s="135" t="str">
        <f t="shared" ref="AW337:AW400" si="156">MID(AS337,9,2)</f>
        <v>20</v>
      </c>
      <c r="AX337" s="135">
        <f t="shared" ref="AX337:AX400" si="157">IFERROR(DATE(AU337,AV337,AW337)," ")</f>
        <v>45005</v>
      </c>
      <c r="AY337" s="137"/>
      <c r="AZ337" s="138">
        <f t="shared" ref="AZ337:AZ400" si="158">H337</f>
        <v>45005</v>
      </c>
      <c r="BA337" s="135" t="b">
        <f t="shared" ref="BA337:BA400" si="159">IF(AX337=" "," ",AX337=AZ337)</f>
        <v>1</v>
      </c>
      <c r="BB337" s="135">
        <f t="shared" ref="BB337:BB400" si="160">IF(BC337="YES"," ",AZ337)</f>
        <v>45005</v>
      </c>
      <c r="BC337" s="135" t="str">
        <f t="shared" ref="BC337:BC400" si="161">IF(AM337="Apprentice","yes","no")</f>
        <v>no</v>
      </c>
      <c r="BD337" s="135" t="b">
        <f t="shared" ref="BD337:BD400" si="162">IF(OR(U337&lt;&gt;"0", V337&lt;&gt;"0"),U337=V337," ")</f>
        <v>0</v>
      </c>
      <c r="BE337" s="139" t="s">
        <v>59</v>
      </c>
      <c r="BF337" s="350"/>
    </row>
    <row r="338" spans="1:58" s="331" customFormat="1" ht="154">
      <c r="A338" s="338"/>
      <c r="B338" s="336" t="s">
        <v>892</v>
      </c>
      <c r="C338" s="338"/>
      <c r="D338" s="338"/>
      <c r="E338" s="338"/>
      <c r="F338" s="337" t="s">
        <v>713</v>
      </c>
      <c r="G338" s="125">
        <v>45033</v>
      </c>
      <c r="H338" s="339">
        <v>45033</v>
      </c>
      <c r="I338" s="339"/>
      <c r="J338" s="339">
        <v>45045</v>
      </c>
      <c r="K338" s="339"/>
      <c r="L338" s="337"/>
      <c r="M338" s="337"/>
      <c r="N338" s="337"/>
      <c r="O338" s="337"/>
      <c r="P338" s="337"/>
      <c r="Q338" s="338" t="s">
        <v>82</v>
      </c>
      <c r="R338" s="338" t="s">
        <v>889</v>
      </c>
      <c r="S338" s="338">
        <f t="shared" si="152"/>
        <v>25</v>
      </c>
      <c r="T338" s="338"/>
      <c r="U338" s="337">
        <v>25</v>
      </c>
      <c r="V338" s="340">
        <v>0</v>
      </c>
      <c r="W338" s="338"/>
      <c r="X338" s="338"/>
      <c r="Y338" s="338"/>
      <c r="Z338" s="338"/>
      <c r="AA338" s="338"/>
      <c r="AB338" s="338"/>
      <c r="AC338" s="338"/>
      <c r="AD338" s="338"/>
      <c r="AE338" s="338"/>
      <c r="AF338" s="338"/>
      <c r="AG338" s="332" t="s">
        <v>85</v>
      </c>
      <c r="AH338" s="338" t="s">
        <v>86</v>
      </c>
      <c r="AI338" s="338"/>
      <c r="AJ338" s="338"/>
      <c r="AK338" s="338"/>
      <c r="AL338" s="341"/>
      <c r="AM338" s="338"/>
      <c r="AN338" s="338"/>
      <c r="AO338" s="340"/>
      <c r="AP338" s="340"/>
      <c r="AQ338" s="474"/>
      <c r="AR338" s="135">
        <f>COUNTIF(B:B,B338)</f>
        <v>1</v>
      </c>
      <c r="AS338" s="135" t="str">
        <f t="shared" si="153"/>
        <v>2023_04_17_a</v>
      </c>
      <c r="AT338" s="136"/>
      <c r="AU338" s="135" t="str">
        <f t="shared" si="154"/>
        <v>2023</v>
      </c>
      <c r="AV338" s="135" t="str">
        <f t="shared" si="155"/>
        <v>04</v>
      </c>
      <c r="AW338" s="135" t="str">
        <f t="shared" si="156"/>
        <v>17</v>
      </c>
      <c r="AX338" s="135">
        <f t="shared" si="157"/>
        <v>45033</v>
      </c>
      <c r="AY338" s="137"/>
      <c r="AZ338" s="138">
        <f t="shared" si="158"/>
        <v>45033</v>
      </c>
      <c r="BA338" s="135" t="b">
        <f t="shared" si="159"/>
        <v>1</v>
      </c>
      <c r="BB338" s="135">
        <f t="shared" si="160"/>
        <v>45033</v>
      </c>
      <c r="BC338" s="135" t="str">
        <f t="shared" si="161"/>
        <v>no</v>
      </c>
      <c r="BD338" s="135" t="b">
        <f t="shared" si="162"/>
        <v>0</v>
      </c>
      <c r="BE338" s="139" t="s">
        <v>59</v>
      </c>
      <c r="BF338" s="350"/>
    </row>
    <row r="339" spans="1:58" s="331" customFormat="1" ht="154">
      <c r="A339" s="338"/>
      <c r="B339" s="336" t="s">
        <v>893</v>
      </c>
      <c r="C339" s="338"/>
      <c r="D339" s="338"/>
      <c r="E339" s="338"/>
      <c r="F339" s="337" t="s">
        <v>713</v>
      </c>
      <c r="G339" s="125">
        <v>45061</v>
      </c>
      <c r="H339" s="339">
        <v>45061</v>
      </c>
      <c r="I339" s="339"/>
      <c r="J339" s="339">
        <v>45073</v>
      </c>
      <c r="K339" s="339"/>
      <c r="L339" s="337"/>
      <c r="M339" s="337"/>
      <c r="N339" s="337"/>
      <c r="O339" s="337"/>
      <c r="P339" s="337"/>
      <c r="Q339" s="338" t="s">
        <v>82</v>
      </c>
      <c r="R339" s="338" t="s">
        <v>889</v>
      </c>
      <c r="S339" s="338">
        <f t="shared" si="152"/>
        <v>25</v>
      </c>
      <c r="T339" s="338"/>
      <c r="U339" s="337">
        <v>25</v>
      </c>
      <c r="V339" s="340">
        <v>0</v>
      </c>
      <c r="W339" s="338"/>
      <c r="X339" s="338"/>
      <c r="Y339" s="338"/>
      <c r="Z339" s="338"/>
      <c r="AA339" s="338"/>
      <c r="AB339" s="338"/>
      <c r="AC339" s="338"/>
      <c r="AD339" s="338"/>
      <c r="AE339" s="338"/>
      <c r="AF339" s="338"/>
      <c r="AG339" s="332" t="s">
        <v>85</v>
      </c>
      <c r="AH339" s="338" t="s">
        <v>86</v>
      </c>
      <c r="AI339" s="338"/>
      <c r="AJ339" s="338"/>
      <c r="AK339" s="338"/>
      <c r="AL339" s="341"/>
      <c r="AM339" s="338"/>
      <c r="AN339" s="338"/>
      <c r="AO339" s="340"/>
      <c r="AP339" s="340"/>
      <c r="AQ339" s="474"/>
      <c r="AR339" s="135">
        <f>COUNTIF(B:B,B339)</f>
        <v>1</v>
      </c>
      <c r="AS339" s="135" t="str">
        <f t="shared" si="153"/>
        <v>2023_05_15_a</v>
      </c>
      <c r="AT339" s="136"/>
      <c r="AU339" s="135" t="str">
        <f t="shared" si="154"/>
        <v>2023</v>
      </c>
      <c r="AV339" s="135" t="str">
        <f t="shared" si="155"/>
        <v>05</v>
      </c>
      <c r="AW339" s="135" t="str">
        <f t="shared" si="156"/>
        <v>15</v>
      </c>
      <c r="AX339" s="135">
        <f t="shared" si="157"/>
        <v>45061</v>
      </c>
      <c r="AY339" s="137"/>
      <c r="AZ339" s="138">
        <f t="shared" si="158"/>
        <v>45061</v>
      </c>
      <c r="BA339" s="135" t="b">
        <f t="shared" si="159"/>
        <v>1</v>
      </c>
      <c r="BB339" s="135">
        <f t="shared" si="160"/>
        <v>45061</v>
      </c>
      <c r="BC339" s="135" t="str">
        <f t="shared" si="161"/>
        <v>no</v>
      </c>
      <c r="BD339" s="135" t="b">
        <f t="shared" si="162"/>
        <v>0</v>
      </c>
      <c r="BE339" s="139" t="s">
        <v>59</v>
      </c>
      <c r="BF339" s="350"/>
    </row>
    <row r="340" spans="1:58" s="331" customFormat="1" ht="154">
      <c r="A340" s="338"/>
      <c r="B340" s="336" t="s">
        <v>894</v>
      </c>
      <c r="C340" s="338"/>
      <c r="D340" s="338"/>
      <c r="E340" s="338"/>
      <c r="F340" s="337" t="s">
        <v>713</v>
      </c>
      <c r="G340" s="125">
        <v>45096</v>
      </c>
      <c r="H340" s="339">
        <v>45096</v>
      </c>
      <c r="I340" s="339"/>
      <c r="J340" s="339">
        <v>45108</v>
      </c>
      <c r="K340" s="339"/>
      <c r="L340" s="337"/>
      <c r="M340" s="337"/>
      <c r="N340" s="337"/>
      <c r="O340" s="337"/>
      <c r="P340" s="337"/>
      <c r="Q340" s="338" t="s">
        <v>82</v>
      </c>
      <c r="R340" s="338" t="s">
        <v>889</v>
      </c>
      <c r="S340" s="338">
        <f t="shared" si="152"/>
        <v>25</v>
      </c>
      <c r="T340" s="338"/>
      <c r="U340" s="337">
        <v>25</v>
      </c>
      <c r="V340" s="340">
        <v>0</v>
      </c>
      <c r="W340" s="338"/>
      <c r="X340" s="338"/>
      <c r="Y340" s="338"/>
      <c r="Z340" s="338"/>
      <c r="AA340" s="338"/>
      <c r="AB340" s="338"/>
      <c r="AC340" s="338"/>
      <c r="AD340" s="338"/>
      <c r="AE340" s="338"/>
      <c r="AF340" s="338"/>
      <c r="AG340" s="332" t="s">
        <v>85</v>
      </c>
      <c r="AH340" s="338" t="s">
        <v>86</v>
      </c>
      <c r="AI340" s="338"/>
      <c r="AJ340" s="338"/>
      <c r="AK340" s="338"/>
      <c r="AL340" s="341"/>
      <c r="AM340" s="338"/>
      <c r="AN340" s="338"/>
      <c r="AO340" s="340"/>
      <c r="AP340" s="340"/>
      <c r="AQ340" s="474"/>
      <c r="AR340" s="135">
        <f>COUNTIF(B:B,B340)</f>
        <v>1</v>
      </c>
      <c r="AS340" s="135" t="str">
        <f t="shared" si="153"/>
        <v>2023_06_19_a</v>
      </c>
      <c r="AT340" s="136"/>
      <c r="AU340" s="135" t="str">
        <f t="shared" si="154"/>
        <v>2023</v>
      </c>
      <c r="AV340" s="135" t="str">
        <f t="shared" si="155"/>
        <v>06</v>
      </c>
      <c r="AW340" s="135" t="str">
        <f t="shared" si="156"/>
        <v>19</v>
      </c>
      <c r="AX340" s="135">
        <f t="shared" si="157"/>
        <v>45096</v>
      </c>
      <c r="AY340" s="137"/>
      <c r="AZ340" s="138">
        <f t="shared" si="158"/>
        <v>45096</v>
      </c>
      <c r="BA340" s="135" t="b">
        <f t="shared" si="159"/>
        <v>1</v>
      </c>
      <c r="BB340" s="135">
        <f t="shared" si="160"/>
        <v>45096</v>
      </c>
      <c r="BC340" s="135" t="str">
        <f t="shared" si="161"/>
        <v>no</v>
      </c>
      <c r="BD340" s="135" t="b">
        <f t="shared" si="162"/>
        <v>0</v>
      </c>
      <c r="BE340" s="139" t="s">
        <v>59</v>
      </c>
      <c r="BF340" s="350"/>
    </row>
    <row r="341" spans="1:58" s="331" customFormat="1" ht="154">
      <c r="A341" s="338"/>
      <c r="B341" s="336" t="s">
        <v>895</v>
      </c>
      <c r="C341" s="338"/>
      <c r="D341" s="338"/>
      <c r="E341" s="338"/>
      <c r="F341" s="337" t="s">
        <v>713</v>
      </c>
      <c r="G341" s="125">
        <v>45124</v>
      </c>
      <c r="H341" s="339">
        <v>45124</v>
      </c>
      <c r="I341" s="339"/>
      <c r="J341" s="339">
        <v>45136</v>
      </c>
      <c r="K341" s="339"/>
      <c r="L341" s="337"/>
      <c r="M341" s="337"/>
      <c r="N341" s="337"/>
      <c r="O341" s="337"/>
      <c r="P341" s="337"/>
      <c r="Q341" s="338" t="s">
        <v>93</v>
      </c>
      <c r="R341" s="338" t="s">
        <v>889</v>
      </c>
      <c r="S341" s="338">
        <f t="shared" si="152"/>
        <v>25</v>
      </c>
      <c r="T341" s="338"/>
      <c r="U341" s="337">
        <v>25</v>
      </c>
      <c r="V341" s="340">
        <v>0</v>
      </c>
      <c r="W341" s="338"/>
      <c r="X341" s="338"/>
      <c r="Y341" s="338"/>
      <c r="Z341" s="338"/>
      <c r="AA341" s="338"/>
      <c r="AB341" s="338"/>
      <c r="AC341" s="338"/>
      <c r="AD341" s="338"/>
      <c r="AE341" s="338"/>
      <c r="AF341" s="338"/>
      <c r="AG341" s="332" t="s">
        <v>85</v>
      </c>
      <c r="AH341" s="338" t="s">
        <v>86</v>
      </c>
      <c r="AI341" s="338"/>
      <c r="AJ341" s="338"/>
      <c r="AK341" s="338"/>
      <c r="AL341" s="341"/>
      <c r="AM341" s="338"/>
      <c r="AN341" s="338"/>
      <c r="AO341" s="340"/>
      <c r="AP341" s="340"/>
      <c r="AQ341" s="474"/>
      <c r="AR341" s="135">
        <f>COUNTIF(B:B,B341)</f>
        <v>1</v>
      </c>
      <c r="AS341" s="135" t="str">
        <f t="shared" si="153"/>
        <v>2023_07_17_a</v>
      </c>
      <c r="AT341" s="136"/>
      <c r="AU341" s="135" t="str">
        <f t="shared" si="154"/>
        <v>2023</v>
      </c>
      <c r="AV341" s="135" t="str">
        <f t="shared" si="155"/>
        <v>07</v>
      </c>
      <c r="AW341" s="135" t="str">
        <f t="shared" si="156"/>
        <v>17</v>
      </c>
      <c r="AX341" s="135">
        <f t="shared" si="157"/>
        <v>45124</v>
      </c>
      <c r="AY341" s="137"/>
      <c r="AZ341" s="138">
        <f t="shared" si="158"/>
        <v>45124</v>
      </c>
      <c r="BA341" s="135" t="b">
        <f t="shared" si="159"/>
        <v>1</v>
      </c>
      <c r="BB341" s="135">
        <f t="shared" si="160"/>
        <v>45124</v>
      </c>
      <c r="BC341" s="135" t="str">
        <f t="shared" si="161"/>
        <v>no</v>
      </c>
      <c r="BD341" s="135" t="b">
        <f t="shared" si="162"/>
        <v>0</v>
      </c>
      <c r="BE341" s="139" t="s">
        <v>59</v>
      </c>
      <c r="BF341" s="350"/>
    </row>
    <row r="342" spans="1:58" s="331" customFormat="1" ht="154">
      <c r="A342" s="338"/>
      <c r="B342" s="336" t="s">
        <v>896</v>
      </c>
      <c r="C342" s="338"/>
      <c r="D342" s="338"/>
      <c r="E342" s="338"/>
      <c r="F342" s="337" t="s">
        <v>713</v>
      </c>
      <c r="G342" s="125">
        <v>45159</v>
      </c>
      <c r="H342" s="339">
        <v>45159</v>
      </c>
      <c r="I342" s="339"/>
      <c r="J342" s="339">
        <v>45171</v>
      </c>
      <c r="K342" s="339"/>
      <c r="L342" s="337"/>
      <c r="M342" s="337"/>
      <c r="N342" s="337"/>
      <c r="O342" s="337"/>
      <c r="P342" s="337"/>
      <c r="Q342" s="338" t="s">
        <v>93</v>
      </c>
      <c r="R342" s="338" t="s">
        <v>889</v>
      </c>
      <c r="S342" s="338">
        <f t="shared" si="152"/>
        <v>25</v>
      </c>
      <c r="T342" s="338"/>
      <c r="U342" s="337">
        <v>25</v>
      </c>
      <c r="V342" s="340">
        <v>0</v>
      </c>
      <c r="W342" s="338"/>
      <c r="X342" s="338"/>
      <c r="Y342" s="338"/>
      <c r="Z342" s="338"/>
      <c r="AA342" s="338"/>
      <c r="AB342" s="338"/>
      <c r="AC342" s="338"/>
      <c r="AD342" s="338"/>
      <c r="AE342" s="338"/>
      <c r="AF342" s="338"/>
      <c r="AG342" s="332" t="s">
        <v>85</v>
      </c>
      <c r="AH342" s="338" t="s">
        <v>86</v>
      </c>
      <c r="AI342" s="338"/>
      <c r="AJ342" s="338"/>
      <c r="AK342" s="338"/>
      <c r="AL342" s="341"/>
      <c r="AM342" s="338"/>
      <c r="AN342" s="338"/>
      <c r="AO342" s="340"/>
      <c r="AP342" s="340"/>
      <c r="AQ342" s="474"/>
      <c r="AR342" s="135">
        <f>COUNTIF(B:B,B342)</f>
        <v>1</v>
      </c>
      <c r="AS342" s="135" t="str">
        <f t="shared" si="153"/>
        <v>2023_08_21_a</v>
      </c>
      <c r="AT342" s="136"/>
      <c r="AU342" s="135" t="str">
        <f t="shared" si="154"/>
        <v>2023</v>
      </c>
      <c r="AV342" s="135" t="str">
        <f t="shared" si="155"/>
        <v>08</v>
      </c>
      <c r="AW342" s="135" t="str">
        <f t="shared" si="156"/>
        <v>21</v>
      </c>
      <c r="AX342" s="135">
        <f t="shared" si="157"/>
        <v>45159</v>
      </c>
      <c r="AY342" s="137"/>
      <c r="AZ342" s="138">
        <f t="shared" si="158"/>
        <v>45159</v>
      </c>
      <c r="BA342" s="135" t="b">
        <f t="shared" si="159"/>
        <v>1</v>
      </c>
      <c r="BB342" s="135">
        <f t="shared" si="160"/>
        <v>45159</v>
      </c>
      <c r="BC342" s="135" t="str">
        <f t="shared" si="161"/>
        <v>no</v>
      </c>
      <c r="BD342" s="135" t="b">
        <f t="shared" si="162"/>
        <v>0</v>
      </c>
      <c r="BE342" s="139" t="s">
        <v>59</v>
      </c>
      <c r="BF342" s="350"/>
    </row>
    <row r="343" spans="1:58" s="331" customFormat="1" ht="154">
      <c r="A343" s="338"/>
      <c r="B343" s="336" t="s">
        <v>897</v>
      </c>
      <c r="C343" s="338"/>
      <c r="D343" s="338"/>
      <c r="E343" s="338"/>
      <c r="F343" s="337" t="s">
        <v>713</v>
      </c>
      <c r="G343" s="125">
        <v>45187</v>
      </c>
      <c r="H343" s="339">
        <v>45187</v>
      </c>
      <c r="I343" s="339"/>
      <c r="J343" s="339">
        <v>45199</v>
      </c>
      <c r="K343" s="339"/>
      <c r="L343" s="337"/>
      <c r="M343" s="337"/>
      <c r="N343" s="337"/>
      <c r="O343" s="337"/>
      <c r="P343" s="337"/>
      <c r="Q343" s="338" t="s">
        <v>93</v>
      </c>
      <c r="R343" s="338" t="s">
        <v>889</v>
      </c>
      <c r="S343" s="338">
        <f t="shared" si="152"/>
        <v>25</v>
      </c>
      <c r="T343" s="338"/>
      <c r="U343" s="337">
        <v>25</v>
      </c>
      <c r="V343" s="340">
        <v>0</v>
      </c>
      <c r="W343" s="338"/>
      <c r="X343" s="338"/>
      <c r="Y343" s="338"/>
      <c r="Z343" s="338"/>
      <c r="AA343" s="338"/>
      <c r="AB343" s="338"/>
      <c r="AC343" s="338"/>
      <c r="AD343" s="338"/>
      <c r="AE343" s="338"/>
      <c r="AF343" s="338"/>
      <c r="AG343" s="332" t="s">
        <v>85</v>
      </c>
      <c r="AH343" s="338" t="s">
        <v>86</v>
      </c>
      <c r="AI343" s="338"/>
      <c r="AJ343" s="338"/>
      <c r="AK343" s="338"/>
      <c r="AL343" s="341"/>
      <c r="AM343" s="338"/>
      <c r="AN343" s="338"/>
      <c r="AO343" s="340"/>
      <c r="AP343" s="340"/>
      <c r="AQ343" s="474"/>
      <c r="AR343" s="135">
        <f>COUNTIF(B:B,B343)</f>
        <v>1</v>
      </c>
      <c r="AS343" s="135" t="str">
        <f t="shared" si="153"/>
        <v>2023_09_18_a</v>
      </c>
      <c r="AT343" s="136"/>
      <c r="AU343" s="135" t="str">
        <f t="shared" si="154"/>
        <v>2023</v>
      </c>
      <c r="AV343" s="135" t="str">
        <f t="shared" si="155"/>
        <v>09</v>
      </c>
      <c r="AW343" s="135" t="str">
        <f t="shared" si="156"/>
        <v>18</v>
      </c>
      <c r="AX343" s="135">
        <f t="shared" si="157"/>
        <v>45187</v>
      </c>
      <c r="AY343" s="137"/>
      <c r="AZ343" s="138">
        <f t="shared" si="158"/>
        <v>45187</v>
      </c>
      <c r="BA343" s="135" t="b">
        <f t="shared" si="159"/>
        <v>1</v>
      </c>
      <c r="BB343" s="135">
        <f t="shared" si="160"/>
        <v>45187</v>
      </c>
      <c r="BC343" s="135" t="str">
        <f t="shared" si="161"/>
        <v>no</v>
      </c>
      <c r="BD343" s="135" t="b">
        <f t="shared" si="162"/>
        <v>0</v>
      </c>
      <c r="BE343" s="139" t="s">
        <v>59</v>
      </c>
      <c r="BF343" s="350"/>
    </row>
    <row r="344" spans="1:58" s="331" customFormat="1" ht="154">
      <c r="A344" s="338"/>
      <c r="B344" s="336" t="s">
        <v>898</v>
      </c>
      <c r="C344" s="338"/>
      <c r="D344" s="338"/>
      <c r="E344" s="338"/>
      <c r="F344" s="337" t="s">
        <v>713</v>
      </c>
      <c r="G344" s="125">
        <v>45215</v>
      </c>
      <c r="H344" s="339">
        <v>45215</v>
      </c>
      <c r="I344" s="339"/>
      <c r="J344" s="339">
        <v>45227</v>
      </c>
      <c r="K344" s="339"/>
      <c r="L344" s="337"/>
      <c r="M344" s="337"/>
      <c r="N344" s="337"/>
      <c r="O344" s="337"/>
      <c r="P344" s="337"/>
      <c r="Q344" s="338" t="s">
        <v>106</v>
      </c>
      <c r="R344" s="338" t="s">
        <v>889</v>
      </c>
      <c r="S344" s="338">
        <f t="shared" si="152"/>
        <v>25</v>
      </c>
      <c r="T344" s="338"/>
      <c r="U344" s="337">
        <v>25</v>
      </c>
      <c r="V344" s="340">
        <v>0</v>
      </c>
      <c r="W344" s="338"/>
      <c r="X344" s="338"/>
      <c r="Y344" s="338"/>
      <c r="Z344" s="338"/>
      <c r="AA344" s="338"/>
      <c r="AB344" s="338"/>
      <c r="AC344" s="338"/>
      <c r="AD344" s="338"/>
      <c r="AE344" s="338"/>
      <c r="AF344" s="338"/>
      <c r="AG344" s="332" t="s">
        <v>85</v>
      </c>
      <c r="AH344" s="338" t="s">
        <v>86</v>
      </c>
      <c r="AI344" s="338"/>
      <c r="AJ344" s="338"/>
      <c r="AK344" s="338"/>
      <c r="AL344" s="341"/>
      <c r="AM344" s="338"/>
      <c r="AN344" s="338"/>
      <c r="AO344" s="340"/>
      <c r="AP344" s="340"/>
      <c r="AQ344" s="474"/>
      <c r="AR344" s="135">
        <f>COUNTIF(B:B,B344)</f>
        <v>1</v>
      </c>
      <c r="AS344" s="135" t="str">
        <f t="shared" si="153"/>
        <v>2023_10_16_a</v>
      </c>
      <c r="AT344" s="136"/>
      <c r="AU344" s="135" t="str">
        <f t="shared" si="154"/>
        <v>2023</v>
      </c>
      <c r="AV344" s="135" t="str">
        <f t="shared" si="155"/>
        <v>10</v>
      </c>
      <c r="AW344" s="135" t="str">
        <f t="shared" si="156"/>
        <v>16</v>
      </c>
      <c r="AX344" s="135">
        <f t="shared" si="157"/>
        <v>45215</v>
      </c>
      <c r="AY344" s="137"/>
      <c r="AZ344" s="138">
        <f t="shared" si="158"/>
        <v>45215</v>
      </c>
      <c r="BA344" s="135" t="b">
        <f t="shared" si="159"/>
        <v>1</v>
      </c>
      <c r="BB344" s="135">
        <f t="shared" si="160"/>
        <v>45215</v>
      </c>
      <c r="BC344" s="135" t="str">
        <f t="shared" si="161"/>
        <v>no</v>
      </c>
      <c r="BD344" s="135" t="b">
        <f t="shared" si="162"/>
        <v>0</v>
      </c>
      <c r="BE344" s="139" t="s">
        <v>59</v>
      </c>
      <c r="BF344" s="350"/>
    </row>
    <row r="345" spans="1:58" s="331" customFormat="1" ht="154">
      <c r="A345" s="338"/>
      <c r="B345" s="336" t="s">
        <v>899</v>
      </c>
      <c r="C345" s="338"/>
      <c r="D345" s="338"/>
      <c r="E345" s="338"/>
      <c r="F345" s="337" t="s">
        <v>713</v>
      </c>
      <c r="G345" s="125">
        <v>45250</v>
      </c>
      <c r="H345" s="339">
        <v>45250</v>
      </c>
      <c r="I345" s="339"/>
      <c r="J345" s="339">
        <v>45262</v>
      </c>
      <c r="K345" s="339"/>
      <c r="L345" s="337"/>
      <c r="M345" s="337"/>
      <c r="N345" s="337"/>
      <c r="O345" s="337"/>
      <c r="P345" s="337"/>
      <c r="Q345" s="338" t="s">
        <v>106</v>
      </c>
      <c r="R345" s="338" t="s">
        <v>889</v>
      </c>
      <c r="S345" s="338">
        <f t="shared" si="152"/>
        <v>25</v>
      </c>
      <c r="T345" s="338"/>
      <c r="U345" s="337">
        <v>25</v>
      </c>
      <c r="V345" s="340">
        <v>0</v>
      </c>
      <c r="W345" s="338"/>
      <c r="X345" s="338"/>
      <c r="Y345" s="338"/>
      <c r="Z345" s="338"/>
      <c r="AA345" s="338"/>
      <c r="AB345" s="338"/>
      <c r="AC345" s="338"/>
      <c r="AD345" s="338"/>
      <c r="AE345" s="338"/>
      <c r="AF345" s="338"/>
      <c r="AG345" s="332" t="s">
        <v>85</v>
      </c>
      <c r="AH345" s="338" t="s">
        <v>86</v>
      </c>
      <c r="AI345" s="338"/>
      <c r="AJ345" s="338"/>
      <c r="AK345" s="338"/>
      <c r="AL345" s="341"/>
      <c r="AM345" s="338"/>
      <c r="AN345" s="338"/>
      <c r="AO345" s="340"/>
      <c r="AP345" s="340"/>
      <c r="AQ345" s="474"/>
      <c r="AR345" s="135">
        <f>COUNTIF(B:B,B345)</f>
        <v>1</v>
      </c>
      <c r="AS345" s="135" t="str">
        <f t="shared" si="153"/>
        <v>2023_11_20_a</v>
      </c>
      <c r="AT345" s="136"/>
      <c r="AU345" s="135" t="str">
        <f t="shared" si="154"/>
        <v>2023</v>
      </c>
      <c r="AV345" s="135" t="str">
        <f t="shared" si="155"/>
        <v>11</v>
      </c>
      <c r="AW345" s="135" t="str">
        <f t="shared" si="156"/>
        <v>20</v>
      </c>
      <c r="AX345" s="135">
        <f t="shared" si="157"/>
        <v>45250</v>
      </c>
      <c r="AY345" s="137"/>
      <c r="AZ345" s="138">
        <f t="shared" si="158"/>
        <v>45250</v>
      </c>
      <c r="BA345" s="135" t="b">
        <f t="shared" si="159"/>
        <v>1</v>
      </c>
      <c r="BB345" s="135">
        <f t="shared" si="160"/>
        <v>45250</v>
      </c>
      <c r="BC345" s="135" t="str">
        <f t="shared" si="161"/>
        <v>no</v>
      </c>
      <c r="BD345" s="135" t="b">
        <f t="shared" si="162"/>
        <v>0</v>
      </c>
      <c r="BE345" s="139" t="s">
        <v>59</v>
      </c>
      <c r="BF345" s="350"/>
    </row>
    <row r="346" spans="1:58" s="331" customFormat="1" ht="154">
      <c r="A346" s="338"/>
      <c r="B346" s="336" t="s">
        <v>900</v>
      </c>
      <c r="C346" s="338"/>
      <c r="D346" s="338"/>
      <c r="E346" s="338"/>
      <c r="F346" s="337" t="s">
        <v>713</v>
      </c>
      <c r="G346" s="125">
        <v>45278</v>
      </c>
      <c r="H346" s="339">
        <v>45278</v>
      </c>
      <c r="I346" s="339"/>
      <c r="J346" s="339">
        <v>45290</v>
      </c>
      <c r="K346" s="339"/>
      <c r="L346" s="337"/>
      <c r="M346" s="337"/>
      <c r="N346" s="337"/>
      <c r="O346" s="337"/>
      <c r="P346" s="337"/>
      <c r="Q346" s="338" t="s">
        <v>106</v>
      </c>
      <c r="R346" s="338" t="s">
        <v>889</v>
      </c>
      <c r="S346" s="338">
        <f t="shared" si="152"/>
        <v>25</v>
      </c>
      <c r="T346" s="338"/>
      <c r="U346" s="337">
        <v>25</v>
      </c>
      <c r="V346" s="340">
        <v>0</v>
      </c>
      <c r="W346" s="338"/>
      <c r="X346" s="338"/>
      <c r="Y346" s="338"/>
      <c r="Z346" s="338"/>
      <c r="AA346" s="338"/>
      <c r="AB346" s="338"/>
      <c r="AC346" s="338"/>
      <c r="AD346" s="338"/>
      <c r="AE346" s="338"/>
      <c r="AF346" s="338"/>
      <c r="AG346" s="332" t="s">
        <v>85</v>
      </c>
      <c r="AH346" s="338" t="s">
        <v>86</v>
      </c>
      <c r="AI346" s="338"/>
      <c r="AJ346" s="338"/>
      <c r="AK346" s="338"/>
      <c r="AL346" s="341"/>
      <c r="AM346" s="338"/>
      <c r="AN346" s="338"/>
      <c r="AO346" s="340"/>
      <c r="AP346" s="340"/>
      <c r="AQ346" s="474"/>
      <c r="AR346" s="135">
        <f>COUNTIF(B:B,B346)</f>
        <v>1</v>
      </c>
      <c r="AS346" s="135" t="str">
        <f t="shared" si="153"/>
        <v>2023_12_18_a</v>
      </c>
      <c r="AT346" s="136"/>
      <c r="AU346" s="135" t="str">
        <f t="shared" si="154"/>
        <v>2023</v>
      </c>
      <c r="AV346" s="135" t="str">
        <f t="shared" si="155"/>
        <v>12</v>
      </c>
      <c r="AW346" s="135" t="str">
        <f t="shared" si="156"/>
        <v>18</v>
      </c>
      <c r="AX346" s="135">
        <f t="shared" si="157"/>
        <v>45278</v>
      </c>
      <c r="AY346" s="137"/>
      <c r="AZ346" s="138">
        <f t="shared" si="158"/>
        <v>45278</v>
      </c>
      <c r="BA346" s="135" t="b">
        <f t="shared" si="159"/>
        <v>1</v>
      </c>
      <c r="BB346" s="135">
        <f t="shared" si="160"/>
        <v>45278</v>
      </c>
      <c r="BC346" s="135" t="str">
        <f t="shared" si="161"/>
        <v>no</v>
      </c>
      <c r="BD346" s="135" t="b">
        <f t="shared" si="162"/>
        <v>0</v>
      </c>
      <c r="BE346" s="139" t="s">
        <v>59</v>
      </c>
      <c r="BF346" s="350"/>
    </row>
    <row r="347" spans="1:58" s="331" customFormat="1" ht="154">
      <c r="A347" s="338"/>
      <c r="B347" s="336" t="s">
        <v>901</v>
      </c>
      <c r="C347" s="338"/>
      <c r="D347" s="338"/>
      <c r="E347" s="338"/>
      <c r="F347" s="337" t="s">
        <v>713</v>
      </c>
      <c r="G347" s="370">
        <v>44942</v>
      </c>
      <c r="H347" s="339">
        <v>44942</v>
      </c>
      <c r="I347" s="339"/>
      <c r="J347" s="339">
        <v>44954</v>
      </c>
      <c r="K347" s="339"/>
      <c r="L347" s="337"/>
      <c r="M347" s="337"/>
      <c r="N347" s="337"/>
      <c r="O347" s="337"/>
      <c r="P347" s="337"/>
      <c r="Q347" s="338" t="s">
        <v>49</v>
      </c>
      <c r="R347" s="338" t="s">
        <v>902</v>
      </c>
      <c r="S347" s="338">
        <f t="shared" si="152"/>
        <v>15</v>
      </c>
      <c r="T347" s="338"/>
      <c r="U347" s="337">
        <v>15</v>
      </c>
      <c r="V347" s="340">
        <v>0</v>
      </c>
      <c r="W347" s="338"/>
      <c r="X347" s="338"/>
      <c r="Y347" s="338"/>
      <c r="Z347" s="338"/>
      <c r="AA347" s="338"/>
      <c r="AB347" s="338"/>
      <c r="AC347" s="338"/>
      <c r="AD347" s="338"/>
      <c r="AE347" s="338"/>
      <c r="AF347" s="338"/>
      <c r="AG347" s="332" t="s">
        <v>85</v>
      </c>
      <c r="AH347" s="338" t="s">
        <v>86</v>
      </c>
      <c r="AI347" s="338"/>
      <c r="AJ347" s="338"/>
      <c r="AK347" s="338"/>
      <c r="AL347" s="341"/>
      <c r="AM347" s="338"/>
      <c r="AN347" s="338"/>
      <c r="AO347" s="340"/>
      <c r="AP347" s="340"/>
      <c r="AQ347" s="474"/>
      <c r="AR347" s="135">
        <f>COUNTIF(B:B,B347)</f>
        <v>1</v>
      </c>
      <c r="AS347" s="135" t="str">
        <f t="shared" si="153"/>
        <v>2023_01_16_a</v>
      </c>
      <c r="AT347" s="136"/>
      <c r="AU347" s="135" t="str">
        <f t="shared" si="154"/>
        <v>2023</v>
      </c>
      <c r="AV347" s="135" t="str">
        <f t="shared" si="155"/>
        <v>01</v>
      </c>
      <c r="AW347" s="135" t="str">
        <f t="shared" si="156"/>
        <v>16</v>
      </c>
      <c r="AX347" s="135">
        <f t="shared" si="157"/>
        <v>44942</v>
      </c>
      <c r="AY347" s="137"/>
      <c r="AZ347" s="138">
        <f t="shared" si="158"/>
        <v>44942</v>
      </c>
      <c r="BA347" s="135" t="b">
        <f t="shared" si="159"/>
        <v>1</v>
      </c>
      <c r="BB347" s="135">
        <f t="shared" si="160"/>
        <v>44942</v>
      </c>
      <c r="BC347" s="135" t="str">
        <f t="shared" si="161"/>
        <v>no</v>
      </c>
      <c r="BD347" s="135" t="b">
        <f t="shared" si="162"/>
        <v>0</v>
      </c>
      <c r="BE347" s="139" t="s">
        <v>59</v>
      </c>
      <c r="BF347" s="350"/>
    </row>
    <row r="348" spans="1:58" s="331" customFormat="1" ht="154">
      <c r="A348" s="338"/>
      <c r="B348" s="336" t="s">
        <v>903</v>
      </c>
      <c r="C348" s="338"/>
      <c r="D348" s="338"/>
      <c r="E348" s="338"/>
      <c r="F348" s="337" t="s">
        <v>713</v>
      </c>
      <c r="G348" s="371">
        <v>44977</v>
      </c>
      <c r="H348" s="339">
        <v>44977</v>
      </c>
      <c r="I348" s="339"/>
      <c r="J348" s="339">
        <v>44989</v>
      </c>
      <c r="K348" s="339"/>
      <c r="L348" s="337"/>
      <c r="M348" s="337"/>
      <c r="N348" s="337"/>
      <c r="O348" s="337"/>
      <c r="P348" s="337"/>
      <c r="Q348" s="338" t="s">
        <v>49</v>
      </c>
      <c r="R348" s="338" t="s">
        <v>902</v>
      </c>
      <c r="S348" s="338">
        <f t="shared" si="152"/>
        <v>15</v>
      </c>
      <c r="T348" s="338"/>
      <c r="U348" s="337">
        <v>15</v>
      </c>
      <c r="V348" s="340">
        <v>0</v>
      </c>
      <c r="W348" s="338"/>
      <c r="X348" s="338"/>
      <c r="Y348" s="338"/>
      <c r="Z348" s="338"/>
      <c r="AA348" s="338"/>
      <c r="AB348" s="338"/>
      <c r="AC348" s="338"/>
      <c r="AD348" s="338"/>
      <c r="AE348" s="338"/>
      <c r="AF348" s="338"/>
      <c r="AG348" s="332" t="s">
        <v>85</v>
      </c>
      <c r="AH348" s="338" t="s">
        <v>86</v>
      </c>
      <c r="AI348" s="338"/>
      <c r="AJ348" s="338"/>
      <c r="AK348" s="338"/>
      <c r="AL348" s="341"/>
      <c r="AM348" s="338"/>
      <c r="AN348" s="338"/>
      <c r="AO348" s="340"/>
      <c r="AP348" s="340"/>
      <c r="AQ348" s="474"/>
      <c r="AR348" s="135">
        <f>COUNTIF(B:B,B348)</f>
        <v>1</v>
      </c>
      <c r="AS348" s="135" t="str">
        <f t="shared" si="153"/>
        <v>2023_02_20_a</v>
      </c>
      <c r="AT348" s="136"/>
      <c r="AU348" s="135" t="str">
        <f t="shared" si="154"/>
        <v>2023</v>
      </c>
      <c r="AV348" s="135" t="str">
        <f t="shared" si="155"/>
        <v>02</v>
      </c>
      <c r="AW348" s="135" t="str">
        <f t="shared" si="156"/>
        <v>20</v>
      </c>
      <c r="AX348" s="135">
        <f t="shared" si="157"/>
        <v>44977</v>
      </c>
      <c r="AY348" s="137"/>
      <c r="AZ348" s="138">
        <f t="shared" si="158"/>
        <v>44977</v>
      </c>
      <c r="BA348" s="135" t="b">
        <f t="shared" si="159"/>
        <v>1</v>
      </c>
      <c r="BB348" s="135">
        <f t="shared" si="160"/>
        <v>44977</v>
      </c>
      <c r="BC348" s="135" t="str">
        <f t="shared" si="161"/>
        <v>no</v>
      </c>
      <c r="BD348" s="135" t="b">
        <f t="shared" si="162"/>
        <v>0</v>
      </c>
      <c r="BE348" s="139" t="s">
        <v>59</v>
      </c>
      <c r="BF348" s="350"/>
    </row>
    <row r="349" spans="1:58" s="331" customFormat="1" ht="154">
      <c r="A349" s="338"/>
      <c r="B349" s="336" t="s">
        <v>904</v>
      </c>
      <c r="C349" s="338"/>
      <c r="D349" s="338"/>
      <c r="E349" s="338"/>
      <c r="F349" s="337" t="s">
        <v>713</v>
      </c>
      <c r="G349" s="371">
        <v>45005</v>
      </c>
      <c r="H349" s="339">
        <v>45005</v>
      </c>
      <c r="I349" s="339"/>
      <c r="J349" s="339">
        <v>45017</v>
      </c>
      <c r="K349" s="339"/>
      <c r="L349" s="337"/>
      <c r="M349" s="337"/>
      <c r="N349" s="337"/>
      <c r="O349" s="337"/>
      <c r="P349" s="337"/>
      <c r="Q349" s="338" t="s">
        <v>49</v>
      </c>
      <c r="R349" s="338" t="s">
        <v>902</v>
      </c>
      <c r="S349" s="338">
        <f t="shared" si="152"/>
        <v>15</v>
      </c>
      <c r="T349" s="338"/>
      <c r="U349" s="337">
        <v>15</v>
      </c>
      <c r="V349" s="340">
        <v>0</v>
      </c>
      <c r="W349" s="338"/>
      <c r="X349" s="338"/>
      <c r="Y349" s="338"/>
      <c r="Z349" s="338"/>
      <c r="AA349" s="338"/>
      <c r="AB349" s="338"/>
      <c r="AC349" s="338"/>
      <c r="AD349" s="338"/>
      <c r="AE349" s="338"/>
      <c r="AF349" s="338"/>
      <c r="AG349" s="332" t="s">
        <v>85</v>
      </c>
      <c r="AH349" s="338" t="s">
        <v>86</v>
      </c>
      <c r="AI349" s="338"/>
      <c r="AJ349" s="338"/>
      <c r="AK349" s="338"/>
      <c r="AL349" s="341"/>
      <c r="AM349" s="338"/>
      <c r="AN349" s="338"/>
      <c r="AO349" s="340"/>
      <c r="AP349" s="340"/>
      <c r="AQ349" s="474"/>
      <c r="AR349" s="135">
        <f>COUNTIF(B:B,B349)</f>
        <v>1</v>
      </c>
      <c r="AS349" s="135" t="str">
        <f t="shared" si="153"/>
        <v>2023_03_20_a</v>
      </c>
      <c r="AT349" s="136"/>
      <c r="AU349" s="135" t="str">
        <f t="shared" si="154"/>
        <v>2023</v>
      </c>
      <c r="AV349" s="135" t="str">
        <f t="shared" si="155"/>
        <v>03</v>
      </c>
      <c r="AW349" s="135" t="str">
        <f t="shared" si="156"/>
        <v>20</v>
      </c>
      <c r="AX349" s="135">
        <f t="shared" si="157"/>
        <v>45005</v>
      </c>
      <c r="AY349" s="137"/>
      <c r="AZ349" s="138">
        <f t="shared" si="158"/>
        <v>45005</v>
      </c>
      <c r="BA349" s="135" t="b">
        <f t="shared" si="159"/>
        <v>1</v>
      </c>
      <c r="BB349" s="135">
        <f t="shared" si="160"/>
        <v>45005</v>
      </c>
      <c r="BC349" s="135" t="str">
        <f t="shared" si="161"/>
        <v>no</v>
      </c>
      <c r="BD349" s="135" t="b">
        <f t="shared" si="162"/>
        <v>0</v>
      </c>
      <c r="BE349" s="139" t="s">
        <v>59</v>
      </c>
      <c r="BF349" s="350"/>
    </row>
    <row r="350" spans="1:58" s="331" customFormat="1" ht="154">
      <c r="A350" s="338"/>
      <c r="B350" s="336" t="s">
        <v>905</v>
      </c>
      <c r="C350" s="338"/>
      <c r="D350" s="338"/>
      <c r="E350" s="338"/>
      <c r="F350" s="337" t="s">
        <v>713</v>
      </c>
      <c r="G350" s="371">
        <v>45033</v>
      </c>
      <c r="H350" s="339">
        <v>45033</v>
      </c>
      <c r="I350" s="339"/>
      <c r="J350" s="339">
        <v>45045</v>
      </c>
      <c r="K350" s="339"/>
      <c r="L350" s="337"/>
      <c r="M350" s="337"/>
      <c r="N350" s="337"/>
      <c r="O350" s="337"/>
      <c r="P350" s="337"/>
      <c r="Q350" s="338" t="s">
        <v>82</v>
      </c>
      <c r="R350" s="338" t="s">
        <v>902</v>
      </c>
      <c r="S350" s="338">
        <f t="shared" si="152"/>
        <v>15</v>
      </c>
      <c r="T350" s="338"/>
      <c r="U350" s="337">
        <v>15</v>
      </c>
      <c r="V350" s="340">
        <v>0</v>
      </c>
      <c r="W350" s="338"/>
      <c r="X350" s="338"/>
      <c r="Y350" s="338"/>
      <c r="Z350" s="338"/>
      <c r="AA350" s="338"/>
      <c r="AB350" s="338"/>
      <c r="AC350" s="338"/>
      <c r="AD350" s="338"/>
      <c r="AE350" s="338"/>
      <c r="AF350" s="338"/>
      <c r="AG350" s="332" t="s">
        <v>85</v>
      </c>
      <c r="AH350" s="338" t="s">
        <v>86</v>
      </c>
      <c r="AI350" s="338"/>
      <c r="AJ350" s="338"/>
      <c r="AK350" s="338"/>
      <c r="AL350" s="341"/>
      <c r="AM350" s="338"/>
      <c r="AN350" s="338"/>
      <c r="AO350" s="340"/>
      <c r="AP350" s="340"/>
      <c r="AQ350" s="474"/>
      <c r="AR350" s="135">
        <f>COUNTIF(B:B,B350)</f>
        <v>1</v>
      </c>
      <c r="AS350" s="135" t="str">
        <f t="shared" si="153"/>
        <v>2023_04_17_a</v>
      </c>
      <c r="AT350" s="136"/>
      <c r="AU350" s="135" t="str">
        <f t="shared" si="154"/>
        <v>2023</v>
      </c>
      <c r="AV350" s="135" t="str">
        <f t="shared" si="155"/>
        <v>04</v>
      </c>
      <c r="AW350" s="135" t="str">
        <f t="shared" si="156"/>
        <v>17</v>
      </c>
      <c r="AX350" s="135">
        <f t="shared" si="157"/>
        <v>45033</v>
      </c>
      <c r="AY350" s="137"/>
      <c r="AZ350" s="138">
        <f t="shared" si="158"/>
        <v>45033</v>
      </c>
      <c r="BA350" s="135" t="b">
        <f t="shared" si="159"/>
        <v>1</v>
      </c>
      <c r="BB350" s="135">
        <f t="shared" si="160"/>
        <v>45033</v>
      </c>
      <c r="BC350" s="135" t="str">
        <f t="shared" si="161"/>
        <v>no</v>
      </c>
      <c r="BD350" s="135" t="b">
        <f t="shared" si="162"/>
        <v>0</v>
      </c>
      <c r="BE350" s="139" t="s">
        <v>59</v>
      </c>
      <c r="BF350" s="350"/>
    </row>
    <row r="351" spans="1:58" s="331" customFormat="1" ht="154">
      <c r="A351" s="338"/>
      <c r="B351" s="336" t="s">
        <v>906</v>
      </c>
      <c r="C351" s="338"/>
      <c r="D351" s="338"/>
      <c r="E351" s="338"/>
      <c r="F351" s="337" t="s">
        <v>713</v>
      </c>
      <c r="G351" s="371">
        <v>45061</v>
      </c>
      <c r="H351" s="339">
        <v>45061</v>
      </c>
      <c r="I351" s="339"/>
      <c r="J351" s="339">
        <v>45073</v>
      </c>
      <c r="K351" s="339"/>
      <c r="L351" s="337"/>
      <c r="M351" s="337"/>
      <c r="N351" s="337"/>
      <c r="O351" s="337"/>
      <c r="P351" s="337"/>
      <c r="Q351" s="338" t="s">
        <v>82</v>
      </c>
      <c r="R351" s="338" t="s">
        <v>902</v>
      </c>
      <c r="S351" s="338">
        <f t="shared" si="152"/>
        <v>15</v>
      </c>
      <c r="T351" s="338"/>
      <c r="U351" s="337">
        <v>15</v>
      </c>
      <c r="V351" s="340">
        <v>0</v>
      </c>
      <c r="W351" s="338"/>
      <c r="X351" s="338"/>
      <c r="Y351" s="338"/>
      <c r="Z351" s="338"/>
      <c r="AA351" s="338"/>
      <c r="AB351" s="338"/>
      <c r="AC351" s="338"/>
      <c r="AD351" s="338"/>
      <c r="AE351" s="338"/>
      <c r="AF351" s="338"/>
      <c r="AG351" s="332" t="s">
        <v>85</v>
      </c>
      <c r="AH351" s="338" t="s">
        <v>86</v>
      </c>
      <c r="AI351" s="338"/>
      <c r="AJ351" s="338"/>
      <c r="AK351" s="338"/>
      <c r="AL351" s="341"/>
      <c r="AM351" s="338"/>
      <c r="AN351" s="338"/>
      <c r="AO351" s="340"/>
      <c r="AP351" s="340"/>
      <c r="AQ351" s="474"/>
      <c r="AR351" s="135">
        <f>COUNTIF(B:B,B351)</f>
        <v>1</v>
      </c>
      <c r="AS351" s="135" t="str">
        <f t="shared" si="153"/>
        <v>2023_05_15_a</v>
      </c>
      <c r="AT351" s="136"/>
      <c r="AU351" s="135" t="str">
        <f t="shared" si="154"/>
        <v>2023</v>
      </c>
      <c r="AV351" s="135" t="str">
        <f t="shared" si="155"/>
        <v>05</v>
      </c>
      <c r="AW351" s="135" t="str">
        <f t="shared" si="156"/>
        <v>15</v>
      </c>
      <c r="AX351" s="135">
        <f t="shared" si="157"/>
        <v>45061</v>
      </c>
      <c r="AY351" s="137"/>
      <c r="AZ351" s="138">
        <f t="shared" si="158"/>
        <v>45061</v>
      </c>
      <c r="BA351" s="135" t="b">
        <f t="shared" si="159"/>
        <v>1</v>
      </c>
      <c r="BB351" s="135">
        <f t="shared" si="160"/>
        <v>45061</v>
      </c>
      <c r="BC351" s="135" t="str">
        <f t="shared" si="161"/>
        <v>no</v>
      </c>
      <c r="BD351" s="135" t="b">
        <f t="shared" si="162"/>
        <v>0</v>
      </c>
      <c r="BE351" s="139" t="s">
        <v>59</v>
      </c>
      <c r="BF351" s="350"/>
    </row>
    <row r="352" spans="1:58" s="331" customFormat="1" ht="154">
      <c r="A352" s="338"/>
      <c r="B352" s="336" t="s">
        <v>907</v>
      </c>
      <c r="C352" s="338"/>
      <c r="D352" s="338"/>
      <c r="E352" s="338"/>
      <c r="F352" s="337" t="s">
        <v>713</v>
      </c>
      <c r="G352" s="371">
        <v>45096</v>
      </c>
      <c r="H352" s="339">
        <v>45096</v>
      </c>
      <c r="I352" s="339"/>
      <c r="J352" s="339">
        <v>45108</v>
      </c>
      <c r="K352" s="339"/>
      <c r="L352" s="337"/>
      <c r="M352" s="337"/>
      <c r="N352" s="337"/>
      <c r="O352" s="337"/>
      <c r="P352" s="337"/>
      <c r="Q352" s="338" t="s">
        <v>82</v>
      </c>
      <c r="R352" s="338" t="s">
        <v>902</v>
      </c>
      <c r="S352" s="338">
        <f t="shared" si="152"/>
        <v>15</v>
      </c>
      <c r="T352" s="338"/>
      <c r="U352" s="337">
        <v>15</v>
      </c>
      <c r="V352" s="340">
        <v>0</v>
      </c>
      <c r="W352" s="338"/>
      <c r="X352" s="338"/>
      <c r="Y352" s="338"/>
      <c r="Z352" s="338"/>
      <c r="AA352" s="338"/>
      <c r="AB352" s="338"/>
      <c r="AC352" s="338"/>
      <c r="AD352" s="338"/>
      <c r="AE352" s="338"/>
      <c r="AF352" s="338"/>
      <c r="AG352" s="332" t="s">
        <v>85</v>
      </c>
      <c r="AH352" s="338" t="s">
        <v>86</v>
      </c>
      <c r="AI352" s="338"/>
      <c r="AJ352" s="338"/>
      <c r="AK352" s="338"/>
      <c r="AL352" s="341"/>
      <c r="AM352" s="338"/>
      <c r="AN352" s="338"/>
      <c r="AO352" s="340"/>
      <c r="AP352" s="340"/>
      <c r="AQ352" s="474"/>
      <c r="AR352" s="135">
        <f>COUNTIF(B:B,B352)</f>
        <v>1</v>
      </c>
      <c r="AS352" s="135" t="str">
        <f t="shared" si="153"/>
        <v>2023_06_19_a</v>
      </c>
      <c r="AT352" s="136"/>
      <c r="AU352" s="135" t="str">
        <f t="shared" si="154"/>
        <v>2023</v>
      </c>
      <c r="AV352" s="135" t="str">
        <f t="shared" si="155"/>
        <v>06</v>
      </c>
      <c r="AW352" s="135" t="str">
        <f t="shared" si="156"/>
        <v>19</v>
      </c>
      <c r="AX352" s="135">
        <f t="shared" si="157"/>
        <v>45096</v>
      </c>
      <c r="AY352" s="137"/>
      <c r="AZ352" s="138">
        <f t="shared" si="158"/>
        <v>45096</v>
      </c>
      <c r="BA352" s="135" t="b">
        <f t="shared" si="159"/>
        <v>1</v>
      </c>
      <c r="BB352" s="135">
        <f t="shared" si="160"/>
        <v>45096</v>
      </c>
      <c r="BC352" s="135" t="str">
        <f t="shared" si="161"/>
        <v>no</v>
      </c>
      <c r="BD352" s="135" t="b">
        <f t="shared" si="162"/>
        <v>0</v>
      </c>
      <c r="BE352" s="139" t="s">
        <v>59</v>
      </c>
      <c r="BF352" s="350"/>
    </row>
    <row r="353" spans="1:58" s="331" customFormat="1" ht="154">
      <c r="A353" s="338"/>
      <c r="B353" s="336" t="s">
        <v>908</v>
      </c>
      <c r="C353" s="338"/>
      <c r="D353" s="338"/>
      <c r="E353" s="338"/>
      <c r="F353" s="337" t="s">
        <v>713</v>
      </c>
      <c r="G353" s="371">
        <v>45124</v>
      </c>
      <c r="H353" s="339">
        <v>45124</v>
      </c>
      <c r="I353" s="339"/>
      <c r="J353" s="339">
        <v>45136</v>
      </c>
      <c r="K353" s="339"/>
      <c r="L353" s="337"/>
      <c r="M353" s="337"/>
      <c r="N353" s="337"/>
      <c r="O353" s="337"/>
      <c r="P353" s="337"/>
      <c r="Q353" s="338" t="s">
        <v>93</v>
      </c>
      <c r="R353" s="338" t="s">
        <v>902</v>
      </c>
      <c r="S353" s="338">
        <f t="shared" si="152"/>
        <v>15</v>
      </c>
      <c r="T353" s="338"/>
      <c r="U353" s="337">
        <v>15</v>
      </c>
      <c r="V353" s="340">
        <v>0</v>
      </c>
      <c r="W353" s="338"/>
      <c r="X353" s="338"/>
      <c r="Y353" s="338"/>
      <c r="Z353" s="338"/>
      <c r="AA353" s="338"/>
      <c r="AB353" s="338"/>
      <c r="AC353" s="338"/>
      <c r="AD353" s="338"/>
      <c r="AE353" s="338"/>
      <c r="AF353" s="338"/>
      <c r="AG353" s="332" t="s">
        <v>85</v>
      </c>
      <c r="AH353" s="338" t="s">
        <v>86</v>
      </c>
      <c r="AI353" s="338"/>
      <c r="AJ353" s="338"/>
      <c r="AK353" s="338"/>
      <c r="AL353" s="341"/>
      <c r="AM353" s="338"/>
      <c r="AN353" s="338"/>
      <c r="AO353" s="340"/>
      <c r="AP353" s="340"/>
      <c r="AQ353" s="474"/>
      <c r="AR353" s="135">
        <f>COUNTIF(B:B,B353)</f>
        <v>1</v>
      </c>
      <c r="AS353" s="135" t="str">
        <f t="shared" si="153"/>
        <v>2023_07_17_a</v>
      </c>
      <c r="AT353" s="136"/>
      <c r="AU353" s="135" t="str">
        <f t="shared" si="154"/>
        <v>2023</v>
      </c>
      <c r="AV353" s="135" t="str">
        <f t="shared" si="155"/>
        <v>07</v>
      </c>
      <c r="AW353" s="135" t="str">
        <f t="shared" si="156"/>
        <v>17</v>
      </c>
      <c r="AX353" s="135">
        <f t="shared" si="157"/>
        <v>45124</v>
      </c>
      <c r="AY353" s="137"/>
      <c r="AZ353" s="138">
        <f t="shared" si="158"/>
        <v>45124</v>
      </c>
      <c r="BA353" s="135" t="b">
        <f t="shared" si="159"/>
        <v>1</v>
      </c>
      <c r="BB353" s="135">
        <f t="shared" si="160"/>
        <v>45124</v>
      </c>
      <c r="BC353" s="135" t="str">
        <f t="shared" si="161"/>
        <v>no</v>
      </c>
      <c r="BD353" s="135" t="b">
        <f t="shared" si="162"/>
        <v>0</v>
      </c>
      <c r="BE353" s="139" t="s">
        <v>59</v>
      </c>
      <c r="BF353" s="350"/>
    </row>
    <row r="354" spans="1:58" s="331" customFormat="1" ht="154">
      <c r="A354" s="338"/>
      <c r="B354" s="336" t="s">
        <v>909</v>
      </c>
      <c r="C354" s="338"/>
      <c r="D354" s="338"/>
      <c r="E354" s="338"/>
      <c r="F354" s="337" t="s">
        <v>713</v>
      </c>
      <c r="G354" s="371">
        <v>45159</v>
      </c>
      <c r="H354" s="339">
        <v>45159</v>
      </c>
      <c r="I354" s="339"/>
      <c r="J354" s="339">
        <v>45171</v>
      </c>
      <c r="K354" s="339"/>
      <c r="L354" s="337"/>
      <c r="M354" s="337"/>
      <c r="N354" s="337"/>
      <c r="O354" s="337"/>
      <c r="P354" s="337"/>
      <c r="Q354" s="338" t="s">
        <v>93</v>
      </c>
      <c r="R354" s="338" t="s">
        <v>902</v>
      </c>
      <c r="S354" s="338">
        <f t="shared" si="152"/>
        <v>15</v>
      </c>
      <c r="T354" s="338"/>
      <c r="U354" s="337">
        <v>15</v>
      </c>
      <c r="V354" s="340">
        <v>0</v>
      </c>
      <c r="W354" s="338"/>
      <c r="X354" s="338"/>
      <c r="Y354" s="338"/>
      <c r="Z354" s="338"/>
      <c r="AA354" s="338"/>
      <c r="AB354" s="338"/>
      <c r="AC354" s="338"/>
      <c r="AD354" s="338"/>
      <c r="AE354" s="338"/>
      <c r="AF354" s="338"/>
      <c r="AG354" s="332" t="s">
        <v>85</v>
      </c>
      <c r="AH354" s="338" t="s">
        <v>86</v>
      </c>
      <c r="AI354" s="338"/>
      <c r="AJ354" s="338"/>
      <c r="AK354" s="338"/>
      <c r="AL354" s="341"/>
      <c r="AM354" s="338"/>
      <c r="AN354" s="338"/>
      <c r="AO354" s="340"/>
      <c r="AP354" s="340"/>
      <c r="AQ354" s="474"/>
      <c r="AR354" s="135">
        <f>COUNTIF(B:B,B354)</f>
        <v>1</v>
      </c>
      <c r="AS354" s="135" t="str">
        <f t="shared" si="153"/>
        <v>2023_08_21_a</v>
      </c>
      <c r="AT354" s="136"/>
      <c r="AU354" s="135" t="str">
        <f t="shared" si="154"/>
        <v>2023</v>
      </c>
      <c r="AV354" s="135" t="str">
        <f t="shared" si="155"/>
        <v>08</v>
      </c>
      <c r="AW354" s="135" t="str">
        <f t="shared" si="156"/>
        <v>21</v>
      </c>
      <c r="AX354" s="135">
        <f t="shared" si="157"/>
        <v>45159</v>
      </c>
      <c r="AY354" s="137"/>
      <c r="AZ354" s="138">
        <f t="shared" si="158"/>
        <v>45159</v>
      </c>
      <c r="BA354" s="135" t="b">
        <f t="shared" si="159"/>
        <v>1</v>
      </c>
      <c r="BB354" s="135">
        <f t="shared" si="160"/>
        <v>45159</v>
      </c>
      <c r="BC354" s="135" t="str">
        <f t="shared" si="161"/>
        <v>no</v>
      </c>
      <c r="BD354" s="135" t="b">
        <f t="shared" si="162"/>
        <v>0</v>
      </c>
      <c r="BE354" s="139" t="s">
        <v>59</v>
      </c>
      <c r="BF354" s="350"/>
    </row>
    <row r="355" spans="1:58" s="331" customFormat="1" ht="154">
      <c r="A355" s="338"/>
      <c r="B355" s="336" t="s">
        <v>910</v>
      </c>
      <c r="C355" s="338"/>
      <c r="D355" s="338"/>
      <c r="E355" s="338"/>
      <c r="F355" s="337" t="s">
        <v>713</v>
      </c>
      <c r="G355" s="371">
        <v>45187</v>
      </c>
      <c r="H355" s="339">
        <v>45187</v>
      </c>
      <c r="I355" s="339"/>
      <c r="J355" s="339">
        <v>45199</v>
      </c>
      <c r="K355" s="339"/>
      <c r="L355" s="337"/>
      <c r="M355" s="337"/>
      <c r="N355" s="337"/>
      <c r="O355" s="337"/>
      <c r="P355" s="337"/>
      <c r="Q355" s="338" t="s">
        <v>93</v>
      </c>
      <c r="R355" s="338" t="s">
        <v>902</v>
      </c>
      <c r="S355" s="338">
        <f t="shared" si="152"/>
        <v>15</v>
      </c>
      <c r="T355" s="338"/>
      <c r="U355" s="337">
        <v>15</v>
      </c>
      <c r="V355" s="340">
        <v>0</v>
      </c>
      <c r="W355" s="338"/>
      <c r="X355" s="338"/>
      <c r="Y355" s="338"/>
      <c r="Z355" s="338"/>
      <c r="AA355" s="338"/>
      <c r="AB355" s="338"/>
      <c r="AC355" s="338"/>
      <c r="AD355" s="338"/>
      <c r="AE355" s="338"/>
      <c r="AF355" s="338"/>
      <c r="AG355" s="332" t="s">
        <v>85</v>
      </c>
      <c r="AH355" s="338" t="s">
        <v>86</v>
      </c>
      <c r="AI355" s="338"/>
      <c r="AJ355" s="338"/>
      <c r="AK355" s="338"/>
      <c r="AL355" s="341"/>
      <c r="AM355" s="338"/>
      <c r="AN355" s="338"/>
      <c r="AO355" s="340"/>
      <c r="AP355" s="340"/>
      <c r="AQ355" s="474"/>
      <c r="AR355" s="135">
        <f>COUNTIF(B:B,B355)</f>
        <v>1</v>
      </c>
      <c r="AS355" s="135" t="str">
        <f t="shared" si="153"/>
        <v>2023_09_18_a</v>
      </c>
      <c r="AT355" s="136"/>
      <c r="AU355" s="135" t="str">
        <f t="shared" si="154"/>
        <v>2023</v>
      </c>
      <c r="AV355" s="135" t="str">
        <f t="shared" si="155"/>
        <v>09</v>
      </c>
      <c r="AW355" s="135" t="str">
        <f t="shared" si="156"/>
        <v>18</v>
      </c>
      <c r="AX355" s="135">
        <f t="shared" si="157"/>
        <v>45187</v>
      </c>
      <c r="AY355" s="137"/>
      <c r="AZ355" s="138">
        <f t="shared" si="158"/>
        <v>45187</v>
      </c>
      <c r="BA355" s="135" t="b">
        <f t="shared" si="159"/>
        <v>1</v>
      </c>
      <c r="BB355" s="135">
        <f t="shared" si="160"/>
        <v>45187</v>
      </c>
      <c r="BC355" s="135" t="str">
        <f t="shared" si="161"/>
        <v>no</v>
      </c>
      <c r="BD355" s="135" t="b">
        <f t="shared" si="162"/>
        <v>0</v>
      </c>
      <c r="BE355" s="139" t="s">
        <v>59</v>
      </c>
      <c r="BF355" s="350"/>
    </row>
    <row r="356" spans="1:58" s="331" customFormat="1" ht="154">
      <c r="A356" s="338"/>
      <c r="B356" s="336" t="s">
        <v>911</v>
      </c>
      <c r="C356" s="338"/>
      <c r="D356" s="338"/>
      <c r="E356" s="338"/>
      <c r="F356" s="337" t="s">
        <v>713</v>
      </c>
      <c r="G356" s="371">
        <v>45215</v>
      </c>
      <c r="H356" s="339">
        <v>45215</v>
      </c>
      <c r="I356" s="339"/>
      <c r="J356" s="339">
        <v>45227</v>
      </c>
      <c r="K356" s="339"/>
      <c r="L356" s="337"/>
      <c r="M356" s="337"/>
      <c r="N356" s="337"/>
      <c r="O356" s="337"/>
      <c r="P356" s="337"/>
      <c r="Q356" s="338" t="s">
        <v>106</v>
      </c>
      <c r="R356" s="338" t="s">
        <v>902</v>
      </c>
      <c r="S356" s="338">
        <f t="shared" si="152"/>
        <v>15</v>
      </c>
      <c r="T356" s="338"/>
      <c r="U356" s="337">
        <v>15</v>
      </c>
      <c r="V356" s="340">
        <v>0</v>
      </c>
      <c r="W356" s="338"/>
      <c r="X356" s="338"/>
      <c r="Y356" s="338"/>
      <c r="Z356" s="338"/>
      <c r="AA356" s="338"/>
      <c r="AB356" s="338"/>
      <c r="AC356" s="338"/>
      <c r="AD356" s="338"/>
      <c r="AE356" s="338"/>
      <c r="AF356" s="338"/>
      <c r="AG356" s="332" t="s">
        <v>85</v>
      </c>
      <c r="AH356" s="338" t="s">
        <v>86</v>
      </c>
      <c r="AI356" s="338"/>
      <c r="AJ356" s="338"/>
      <c r="AK356" s="338"/>
      <c r="AL356" s="341"/>
      <c r="AM356" s="338"/>
      <c r="AN356" s="338"/>
      <c r="AO356" s="340"/>
      <c r="AP356" s="340"/>
      <c r="AQ356" s="474"/>
      <c r="AR356" s="135">
        <f>COUNTIF(B:B,B356)</f>
        <v>1</v>
      </c>
      <c r="AS356" s="135" t="str">
        <f t="shared" si="153"/>
        <v>2023_10_16_a</v>
      </c>
      <c r="AT356" s="136"/>
      <c r="AU356" s="135" t="str">
        <f t="shared" si="154"/>
        <v>2023</v>
      </c>
      <c r="AV356" s="135" t="str">
        <f t="shared" si="155"/>
        <v>10</v>
      </c>
      <c r="AW356" s="135" t="str">
        <f t="shared" si="156"/>
        <v>16</v>
      </c>
      <c r="AX356" s="135">
        <f t="shared" si="157"/>
        <v>45215</v>
      </c>
      <c r="AY356" s="137"/>
      <c r="AZ356" s="138">
        <f t="shared" si="158"/>
        <v>45215</v>
      </c>
      <c r="BA356" s="135" t="b">
        <f t="shared" si="159"/>
        <v>1</v>
      </c>
      <c r="BB356" s="135">
        <f t="shared" si="160"/>
        <v>45215</v>
      </c>
      <c r="BC356" s="135" t="str">
        <f t="shared" si="161"/>
        <v>no</v>
      </c>
      <c r="BD356" s="135" t="b">
        <f t="shared" si="162"/>
        <v>0</v>
      </c>
      <c r="BE356" s="139" t="s">
        <v>59</v>
      </c>
      <c r="BF356" s="350"/>
    </row>
    <row r="357" spans="1:58" s="331" customFormat="1" ht="154">
      <c r="A357" s="338"/>
      <c r="B357" s="336" t="s">
        <v>912</v>
      </c>
      <c r="C357" s="338"/>
      <c r="D357" s="338"/>
      <c r="E357" s="338"/>
      <c r="F357" s="337" t="s">
        <v>713</v>
      </c>
      <c r="G357" s="371">
        <v>45250</v>
      </c>
      <c r="H357" s="339">
        <v>45250</v>
      </c>
      <c r="I357" s="339"/>
      <c r="J357" s="339">
        <v>45262</v>
      </c>
      <c r="K357" s="339"/>
      <c r="L357" s="337"/>
      <c r="M357" s="337"/>
      <c r="N357" s="337"/>
      <c r="O357" s="337"/>
      <c r="P357" s="337"/>
      <c r="Q357" s="338" t="s">
        <v>106</v>
      </c>
      <c r="R357" s="338" t="s">
        <v>902</v>
      </c>
      <c r="S357" s="338">
        <f t="shared" si="152"/>
        <v>10</v>
      </c>
      <c r="T357" s="338"/>
      <c r="U357" s="337">
        <v>10</v>
      </c>
      <c r="V357" s="340">
        <v>0</v>
      </c>
      <c r="W357" s="338"/>
      <c r="X357" s="338"/>
      <c r="Y357" s="338"/>
      <c r="Z357" s="338"/>
      <c r="AA357" s="338"/>
      <c r="AB357" s="338"/>
      <c r="AC357" s="338"/>
      <c r="AD357" s="338"/>
      <c r="AE357" s="338"/>
      <c r="AF357" s="338"/>
      <c r="AG357" s="332" t="s">
        <v>85</v>
      </c>
      <c r="AH357" s="338" t="s">
        <v>86</v>
      </c>
      <c r="AI357" s="338"/>
      <c r="AJ357" s="338"/>
      <c r="AK357" s="338"/>
      <c r="AL357" s="341"/>
      <c r="AM357" s="338"/>
      <c r="AN357" s="338"/>
      <c r="AO357" s="340"/>
      <c r="AP357" s="340"/>
      <c r="AQ357" s="474"/>
      <c r="AR357" s="135">
        <f>COUNTIF(B:B,B357)</f>
        <v>1</v>
      </c>
      <c r="AS357" s="135" t="str">
        <f t="shared" si="153"/>
        <v>2023_11_20_a</v>
      </c>
      <c r="AT357" s="136"/>
      <c r="AU357" s="135" t="str">
        <f t="shared" si="154"/>
        <v>2023</v>
      </c>
      <c r="AV357" s="135" t="str">
        <f t="shared" si="155"/>
        <v>11</v>
      </c>
      <c r="AW357" s="135" t="str">
        <f t="shared" si="156"/>
        <v>20</v>
      </c>
      <c r="AX357" s="135">
        <f t="shared" si="157"/>
        <v>45250</v>
      </c>
      <c r="AY357" s="137"/>
      <c r="AZ357" s="138">
        <f t="shared" si="158"/>
        <v>45250</v>
      </c>
      <c r="BA357" s="135" t="b">
        <f t="shared" si="159"/>
        <v>1</v>
      </c>
      <c r="BB357" s="135">
        <f t="shared" si="160"/>
        <v>45250</v>
      </c>
      <c r="BC357" s="135" t="str">
        <f t="shared" si="161"/>
        <v>no</v>
      </c>
      <c r="BD357" s="135" t="b">
        <f t="shared" si="162"/>
        <v>0</v>
      </c>
      <c r="BE357" s="139" t="s">
        <v>59</v>
      </c>
      <c r="BF357" s="350"/>
    </row>
    <row r="358" spans="1:58" s="331" customFormat="1" ht="154">
      <c r="A358" s="338"/>
      <c r="B358" s="336" t="s">
        <v>913</v>
      </c>
      <c r="C358" s="338"/>
      <c r="D358" s="338"/>
      <c r="E358" s="338"/>
      <c r="F358" s="337" t="s">
        <v>713</v>
      </c>
      <c r="G358" s="371">
        <v>45278</v>
      </c>
      <c r="H358" s="339">
        <v>45278</v>
      </c>
      <c r="I358" s="339"/>
      <c r="J358" s="339">
        <v>45290</v>
      </c>
      <c r="K358" s="339"/>
      <c r="L358" s="337"/>
      <c r="M358" s="337"/>
      <c r="N358" s="337"/>
      <c r="O358" s="337"/>
      <c r="P358" s="337"/>
      <c r="Q358" s="338" t="s">
        <v>106</v>
      </c>
      <c r="R358" s="338" t="s">
        <v>902</v>
      </c>
      <c r="S358" s="338">
        <f t="shared" si="152"/>
        <v>10</v>
      </c>
      <c r="T358" s="338"/>
      <c r="U358" s="337">
        <v>10</v>
      </c>
      <c r="V358" s="340">
        <v>0</v>
      </c>
      <c r="W358" s="338"/>
      <c r="X358" s="338"/>
      <c r="Y358" s="338"/>
      <c r="Z358" s="338"/>
      <c r="AA358" s="338"/>
      <c r="AB358" s="338"/>
      <c r="AC358" s="338"/>
      <c r="AD358" s="338"/>
      <c r="AE358" s="338"/>
      <c r="AF358" s="338"/>
      <c r="AG358" s="332" t="s">
        <v>85</v>
      </c>
      <c r="AH358" s="338" t="s">
        <v>86</v>
      </c>
      <c r="AI358" s="338"/>
      <c r="AJ358" s="338"/>
      <c r="AK358" s="338"/>
      <c r="AL358" s="341"/>
      <c r="AM358" s="338"/>
      <c r="AN358" s="338"/>
      <c r="AO358" s="340"/>
      <c r="AP358" s="340"/>
      <c r="AQ358" s="474"/>
      <c r="AR358" s="135">
        <f>COUNTIF(B:B,B358)</f>
        <v>1</v>
      </c>
      <c r="AS358" s="135" t="str">
        <f t="shared" si="153"/>
        <v>2023_12_18_a</v>
      </c>
      <c r="AT358" s="136"/>
      <c r="AU358" s="135" t="str">
        <f t="shared" si="154"/>
        <v>2023</v>
      </c>
      <c r="AV358" s="135" t="str">
        <f t="shared" si="155"/>
        <v>12</v>
      </c>
      <c r="AW358" s="135" t="str">
        <f t="shared" si="156"/>
        <v>18</v>
      </c>
      <c r="AX358" s="135">
        <f t="shared" si="157"/>
        <v>45278</v>
      </c>
      <c r="AY358" s="137"/>
      <c r="AZ358" s="138">
        <f t="shared" si="158"/>
        <v>45278</v>
      </c>
      <c r="BA358" s="135" t="b">
        <f t="shared" si="159"/>
        <v>1</v>
      </c>
      <c r="BB358" s="135">
        <f t="shared" si="160"/>
        <v>45278</v>
      </c>
      <c r="BC358" s="135" t="str">
        <f t="shared" si="161"/>
        <v>no</v>
      </c>
      <c r="BD358" s="135" t="b">
        <f t="shared" si="162"/>
        <v>0</v>
      </c>
      <c r="BE358" s="139" t="s">
        <v>59</v>
      </c>
      <c r="BF358" s="350"/>
    </row>
    <row r="359" spans="1:58" s="126" customFormat="1" ht="154">
      <c r="A359" s="472"/>
      <c r="B359" s="472"/>
      <c r="C359" s="472"/>
      <c r="D359" s="472"/>
      <c r="E359" s="472"/>
      <c r="F359" s="492" t="s">
        <v>362</v>
      </c>
      <c r="G359" s="493"/>
      <c r="H359" s="493"/>
      <c r="I359" s="493"/>
      <c r="J359" s="493"/>
      <c r="K359" s="493"/>
      <c r="L359" s="493"/>
      <c r="M359" s="493"/>
      <c r="N359" s="493"/>
      <c r="O359" s="493"/>
      <c r="P359" s="493"/>
      <c r="Q359" s="493"/>
      <c r="R359" s="493"/>
      <c r="S359" s="472">
        <f>SUMIFS(S240:S289, AA240:AA289, "=Complete")</f>
        <v>0</v>
      </c>
      <c r="T359" s="472"/>
      <c r="U359" s="485">
        <f>SUMIFS(U240:U289, AA240:AA289, "=Complete")</f>
        <v>0</v>
      </c>
      <c r="V359" s="472">
        <f>SUMIFS(V240:V289, Z240:Z289, "=Complete")</f>
        <v>732</v>
      </c>
      <c r="W359" s="472"/>
      <c r="X359" s="192"/>
      <c r="Y359" s="192"/>
      <c r="Z359" s="472"/>
      <c r="AA359" s="472">
        <f>COUNTIFS(AA240:AA289, "=Complete")</f>
        <v>0</v>
      </c>
      <c r="AB359" s="472"/>
      <c r="AC359" s="472"/>
      <c r="AD359" s="472"/>
      <c r="AE359" s="472"/>
      <c r="AF359" s="472"/>
      <c r="AG359" s="472">
        <f>COUNTIFS(AG240:AG289, "=Legacy")</f>
        <v>0</v>
      </c>
      <c r="AH359" s="472">
        <f>COUNTIFS(AH240:AH289, "=Virtual")</f>
        <v>50</v>
      </c>
      <c r="AI359" s="472"/>
      <c r="AJ359" s="472"/>
      <c r="AK359" s="472"/>
      <c r="AL359" s="472"/>
      <c r="AM359" s="472"/>
      <c r="AN359" s="472"/>
      <c r="AO359" s="472"/>
      <c r="AP359" s="472"/>
      <c r="AQ359" s="472"/>
      <c r="AR359" s="135">
        <f>COUNTIF(B:B,B359)</f>
        <v>0</v>
      </c>
      <c r="AS359" s="135">
        <f t="shared" si="153"/>
        <v>0</v>
      </c>
      <c r="AT359" s="136"/>
      <c r="AU359" s="135" t="str">
        <f t="shared" si="154"/>
        <v>0</v>
      </c>
      <c r="AV359" s="135" t="str">
        <f t="shared" si="155"/>
        <v/>
      </c>
      <c r="AW359" s="135" t="str">
        <f t="shared" si="156"/>
        <v/>
      </c>
      <c r="AX359" s="135" t="str">
        <f t="shared" si="157"/>
        <v xml:space="preserve"> </v>
      </c>
      <c r="AY359" s="137"/>
      <c r="AZ359" s="138">
        <f t="shared" si="158"/>
        <v>0</v>
      </c>
      <c r="BA359" s="135" t="str">
        <f t="shared" si="159"/>
        <v xml:space="preserve"> </v>
      </c>
      <c r="BB359" s="135">
        <f t="shared" si="160"/>
        <v>0</v>
      </c>
      <c r="BC359" s="135" t="str">
        <f t="shared" si="161"/>
        <v>no</v>
      </c>
      <c r="BD359" s="135" t="b">
        <f t="shared" si="162"/>
        <v>0</v>
      </c>
      <c r="BE359" s="139" t="s">
        <v>59</v>
      </c>
      <c r="BF359" s="136"/>
    </row>
    <row r="360" spans="1:58" s="126" customFormat="1" ht="154">
      <c r="A360" s="472"/>
      <c r="B360" s="472"/>
      <c r="C360" s="472"/>
      <c r="D360" s="472"/>
      <c r="E360" s="472"/>
      <c r="F360" s="492" t="s">
        <v>363</v>
      </c>
      <c r="G360" s="492"/>
      <c r="H360" s="492"/>
      <c r="I360" s="492"/>
      <c r="J360" s="492"/>
      <c r="K360" s="492"/>
      <c r="L360" s="492"/>
      <c r="M360" s="492"/>
      <c r="N360" s="492"/>
      <c r="O360" s="492"/>
      <c r="P360" s="492"/>
      <c r="Q360" s="492"/>
      <c r="R360" s="492"/>
      <c r="S360" s="472">
        <f>SUMIFS(S240:S289, AA240:AA289, "=In Progress")</f>
        <v>494</v>
      </c>
      <c r="T360" s="472"/>
      <c r="U360" s="485">
        <f>SUMIFS(U240:U289, AA240:AA289, "=In Progress")</f>
        <v>0</v>
      </c>
      <c r="V360" s="472">
        <f>SUMIFS(V240:V289, Z240:Z289, "=In Progress")</f>
        <v>0</v>
      </c>
      <c r="W360" s="472"/>
      <c r="X360" s="192"/>
      <c r="Y360" s="192"/>
      <c r="Z360" s="472"/>
      <c r="AA360" s="472">
        <f>COUNTIFS(AA240:AA289, "=In Progress")</f>
        <v>24</v>
      </c>
      <c r="AB360" s="472"/>
      <c r="AC360" s="472"/>
      <c r="AD360" s="472"/>
      <c r="AE360" s="472"/>
      <c r="AF360" s="472"/>
      <c r="AG360" s="472"/>
      <c r="AH360" s="472"/>
      <c r="AI360" s="472"/>
      <c r="AJ360" s="472"/>
      <c r="AK360" s="472"/>
      <c r="AL360" s="472"/>
      <c r="AM360" s="472"/>
      <c r="AN360" s="472"/>
      <c r="AO360" s="472"/>
      <c r="AP360" s="472"/>
      <c r="AQ360" s="472"/>
      <c r="AR360" s="135">
        <f>COUNTIF(B:B,B360)</f>
        <v>0</v>
      </c>
      <c r="AS360" s="135">
        <f t="shared" si="153"/>
        <v>0</v>
      </c>
      <c r="AT360" s="136"/>
      <c r="AU360" s="135" t="str">
        <f t="shared" si="154"/>
        <v>0</v>
      </c>
      <c r="AV360" s="135" t="str">
        <f t="shared" si="155"/>
        <v/>
      </c>
      <c r="AW360" s="135" t="str">
        <f t="shared" si="156"/>
        <v/>
      </c>
      <c r="AX360" s="135" t="str">
        <f t="shared" si="157"/>
        <v xml:space="preserve"> </v>
      </c>
      <c r="AY360" s="137"/>
      <c r="AZ360" s="138">
        <f t="shared" si="158"/>
        <v>0</v>
      </c>
      <c r="BA360" s="135" t="str">
        <f t="shared" si="159"/>
        <v xml:space="preserve"> </v>
      </c>
      <c r="BB360" s="135">
        <f t="shared" si="160"/>
        <v>0</v>
      </c>
      <c r="BC360" s="135" t="str">
        <f t="shared" si="161"/>
        <v>no</v>
      </c>
      <c r="BD360" s="135" t="b">
        <f t="shared" si="162"/>
        <v>1</v>
      </c>
      <c r="BE360" s="139" t="s">
        <v>59</v>
      </c>
      <c r="BF360" s="136"/>
    </row>
    <row r="361" spans="1:58" s="126" customFormat="1" ht="154">
      <c r="A361" s="472"/>
      <c r="B361" s="472"/>
      <c r="C361" s="472"/>
      <c r="D361" s="472"/>
      <c r="E361" s="472"/>
      <c r="F361" s="492" t="s">
        <v>223</v>
      </c>
      <c r="G361" s="493"/>
      <c r="H361" s="493"/>
      <c r="I361" s="493"/>
      <c r="J361" s="493"/>
      <c r="K361" s="493"/>
      <c r="L361" s="493"/>
      <c r="M361" s="493"/>
      <c r="N361" s="493"/>
      <c r="O361" s="493"/>
      <c r="P361" s="493"/>
      <c r="Q361" s="493"/>
      <c r="R361" s="493"/>
      <c r="S361" s="472">
        <f>SUMIFS(S240:S289, AA240:AA289, "=Planned")</f>
        <v>0</v>
      </c>
      <c r="T361" s="472"/>
      <c r="U361" s="485">
        <f>SUMIFS(U240:U289, AA240:AA289, "=Planned")</f>
        <v>0</v>
      </c>
      <c r="V361" s="472">
        <f>SUMIFS(V240:V289, Z240:Z289, "=Planned")</f>
        <v>0</v>
      </c>
      <c r="W361" s="472"/>
      <c r="X361" s="192"/>
      <c r="Y361" s="192"/>
      <c r="Z361" s="472"/>
      <c r="AA361" s="472">
        <f>COUNTIFS(AA240:AA289, "=Planned")</f>
        <v>0</v>
      </c>
      <c r="AB361" s="472"/>
      <c r="AC361" s="472"/>
      <c r="AD361" s="472"/>
      <c r="AE361" s="472"/>
      <c r="AF361" s="472"/>
      <c r="AG361" s="472">
        <f>COUNTIFS(AG240:AG289, "=New")</f>
        <v>0</v>
      </c>
      <c r="AH361" s="472">
        <f>COUNTIFS(AH240:AH289, "=F2F")</f>
        <v>0</v>
      </c>
      <c r="AI361" s="472"/>
      <c r="AJ361" s="472"/>
      <c r="AK361" s="472"/>
      <c r="AL361" s="472"/>
      <c r="AM361" s="472"/>
      <c r="AN361" s="472"/>
      <c r="AO361" s="472"/>
      <c r="AP361" s="472"/>
      <c r="AQ361" s="472"/>
      <c r="AR361" s="135">
        <f>COUNTIF(B:B,B361)</f>
        <v>0</v>
      </c>
      <c r="AS361" s="135">
        <f t="shared" si="153"/>
        <v>0</v>
      </c>
      <c r="AT361" s="136"/>
      <c r="AU361" s="135" t="str">
        <f t="shared" si="154"/>
        <v>0</v>
      </c>
      <c r="AV361" s="135" t="str">
        <f t="shared" si="155"/>
        <v/>
      </c>
      <c r="AW361" s="135" t="str">
        <f t="shared" si="156"/>
        <v/>
      </c>
      <c r="AX361" s="135" t="str">
        <f t="shared" si="157"/>
        <v xml:space="preserve"> </v>
      </c>
      <c r="AY361" s="137"/>
      <c r="AZ361" s="138">
        <f t="shared" si="158"/>
        <v>0</v>
      </c>
      <c r="BA361" s="135" t="str">
        <f t="shared" si="159"/>
        <v xml:space="preserve"> </v>
      </c>
      <c r="BB361" s="135">
        <f t="shared" si="160"/>
        <v>0</v>
      </c>
      <c r="BC361" s="135" t="str">
        <f t="shared" si="161"/>
        <v>no</v>
      </c>
      <c r="BD361" s="135" t="b">
        <f t="shared" si="162"/>
        <v>1</v>
      </c>
      <c r="BE361" s="139" t="s">
        <v>59</v>
      </c>
      <c r="BF361" s="136"/>
    </row>
    <row r="362" spans="1:58" s="126" customFormat="1" ht="154">
      <c r="A362" s="472"/>
      <c r="B362" s="472"/>
      <c r="C362" s="472"/>
      <c r="D362" s="472"/>
      <c r="E362" s="472"/>
      <c r="F362" s="492" t="s">
        <v>224</v>
      </c>
      <c r="G362" s="492"/>
      <c r="H362" s="492"/>
      <c r="I362" s="492"/>
      <c r="J362" s="492"/>
      <c r="K362" s="492"/>
      <c r="L362" s="492"/>
      <c r="M362" s="492"/>
      <c r="N362" s="492"/>
      <c r="O362" s="492"/>
      <c r="P362" s="492"/>
      <c r="Q362" s="492"/>
      <c r="R362" s="492"/>
      <c r="S362" s="472">
        <f>SUMIFS(S240:S289, AA240:AA289, "=Tentative")</f>
        <v>238</v>
      </c>
      <c r="T362" s="472"/>
      <c r="U362" s="485">
        <f>SUMIFS(U240:U289, AA240:AA289, "=Tentative")</f>
        <v>0</v>
      </c>
      <c r="V362" s="472">
        <f>SUMIFS(V240:V289, Z240:Z289, "=Tentative")</f>
        <v>0</v>
      </c>
      <c r="W362" s="472"/>
      <c r="X362" s="192"/>
      <c r="Y362" s="192"/>
      <c r="Z362" s="472"/>
      <c r="AA362" s="472">
        <f>COUNTIFS(AA240:AA289, "=Tentative")</f>
        <v>1</v>
      </c>
      <c r="AB362" s="472"/>
      <c r="AC362" s="472"/>
      <c r="AD362" s="472"/>
      <c r="AE362" s="472"/>
      <c r="AF362" s="472"/>
      <c r="AG362" s="472"/>
      <c r="AH362" s="472"/>
      <c r="AI362" s="472"/>
      <c r="AJ362" s="472"/>
      <c r="AK362" s="472"/>
      <c r="AL362" s="472"/>
      <c r="AM362" s="472"/>
      <c r="AN362" s="472"/>
      <c r="AO362" s="472"/>
      <c r="AP362" s="472"/>
      <c r="AQ362" s="472"/>
      <c r="AR362" s="135">
        <f>COUNTIF(B:B,B362)</f>
        <v>0</v>
      </c>
      <c r="AS362" s="135">
        <f t="shared" si="153"/>
        <v>0</v>
      </c>
      <c r="AT362" s="136"/>
      <c r="AU362" s="135" t="str">
        <f t="shared" si="154"/>
        <v>0</v>
      </c>
      <c r="AV362" s="135" t="str">
        <f t="shared" si="155"/>
        <v/>
      </c>
      <c r="AW362" s="135" t="str">
        <f t="shared" si="156"/>
        <v/>
      </c>
      <c r="AX362" s="135" t="str">
        <f t="shared" si="157"/>
        <v xml:space="preserve"> </v>
      </c>
      <c r="AY362" s="137"/>
      <c r="AZ362" s="138">
        <f t="shared" si="158"/>
        <v>0</v>
      </c>
      <c r="BA362" s="135" t="str">
        <f t="shared" si="159"/>
        <v xml:space="preserve"> </v>
      </c>
      <c r="BB362" s="135">
        <f t="shared" si="160"/>
        <v>0</v>
      </c>
      <c r="BC362" s="135" t="str">
        <f t="shared" si="161"/>
        <v>no</v>
      </c>
      <c r="BD362" s="135" t="b">
        <f t="shared" si="162"/>
        <v>1</v>
      </c>
      <c r="BE362" s="139" t="s">
        <v>59</v>
      </c>
      <c r="BF362" s="136"/>
    </row>
    <row r="363" spans="1:58" s="126" customFormat="1" ht="154">
      <c r="A363" s="472"/>
      <c r="B363" s="472"/>
      <c r="C363" s="472"/>
      <c r="D363" s="472"/>
      <c r="E363" s="472"/>
      <c r="F363" s="494" t="s">
        <v>225</v>
      </c>
      <c r="G363" s="493"/>
      <c r="H363" s="493"/>
      <c r="I363" s="493"/>
      <c r="J363" s="493"/>
      <c r="K363" s="493"/>
      <c r="L363" s="493"/>
      <c r="M363" s="493"/>
      <c r="N363" s="493"/>
      <c r="O363" s="493"/>
      <c r="P363" s="493"/>
      <c r="Q363" s="493"/>
      <c r="R363" s="493"/>
      <c r="S363" s="473">
        <f>SUM(S240:S289)</f>
        <v>1523</v>
      </c>
      <c r="T363" s="472"/>
      <c r="U363" s="196">
        <f>SUM(U240:U289)</f>
        <v>0</v>
      </c>
      <c r="V363" s="473">
        <f>SUM(V240:V289)</f>
        <v>1523</v>
      </c>
      <c r="W363" s="472"/>
      <c r="X363" s="192"/>
      <c r="Y363" s="192"/>
      <c r="Z363" s="472"/>
      <c r="AA363" s="472"/>
      <c r="AB363" s="472"/>
      <c r="AC363" s="472"/>
      <c r="AD363" s="472"/>
      <c r="AE363" s="472"/>
      <c r="AF363" s="472"/>
      <c r="AG363" s="472"/>
      <c r="AH363" s="472"/>
      <c r="AI363" s="472"/>
      <c r="AJ363" s="472"/>
      <c r="AK363" s="472"/>
      <c r="AL363" s="472"/>
      <c r="AM363" s="472"/>
      <c r="AN363" s="472"/>
      <c r="AO363" s="472"/>
      <c r="AP363" s="472"/>
      <c r="AQ363" s="472"/>
      <c r="AR363" s="135">
        <f>COUNTIF(B:B,B363)</f>
        <v>0</v>
      </c>
      <c r="AS363" s="135">
        <f t="shared" si="153"/>
        <v>0</v>
      </c>
      <c r="AT363" s="136"/>
      <c r="AU363" s="135" t="str">
        <f t="shared" si="154"/>
        <v>0</v>
      </c>
      <c r="AV363" s="135" t="str">
        <f t="shared" si="155"/>
        <v/>
      </c>
      <c r="AW363" s="135" t="str">
        <f t="shared" si="156"/>
        <v/>
      </c>
      <c r="AX363" s="135" t="str">
        <f t="shared" si="157"/>
        <v xml:space="preserve"> </v>
      </c>
      <c r="AY363" s="137"/>
      <c r="AZ363" s="138">
        <f t="shared" si="158"/>
        <v>0</v>
      </c>
      <c r="BA363" s="135" t="str">
        <f t="shared" si="159"/>
        <v xml:space="preserve"> </v>
      </c>
      <c r="BB363" s="135">
        <f t="shared" si="160"/>
        <v>0</v>
      </c>
      <c r="BC363" s="135" t="str">
        <f t="shared" si="161"/>
        <v>no</v>
      </c>
      <c r="BD363" s="135" t="b">
        <f t="shared" si="162"/>
        <v>0</v>
      </c>
      <c r="BE363" s="139" t="s">
        <v>59</v>
      </c>
      <c r="BF363" s="136"/>
    </row>
    <row r="364" spans="1:58" s="134" customFormat="1" ht="24" customHeight="1">
      <c r="A364" s="129" t="s">
        <v>914</v>
      </c>
      <c r="B364" s="129" t="s">
        <v>915</v>
      </c>
      <c r="C364" s="100" t="s">
        <v>916</v>
      </c>
      <c r="D364" s="360" t="s">
        <v>917</v>
      </c>
      <c r="E364" s="123" t="s">
        <v>916</v>
      </c>
      <c r="F364" s="131" t="s">
        <v>918</v>
      </c>
      <c r="G364" s="132">
        <v>43843</v>
      </c>
      <c r="H364" s="133">
        <v>43843</v>
      </c>
      <c r="I364" s="132">
        <f t="shared" ref="I364:I375" si="163">WORKDAY(H364,5)</f>
        <v>43850</v>
      </c>
      <c r="J364" s="133">
        <f t="shared" ref="J364:J379" si="164">WORKDAY(H364,10)</f>
        <v>43857</v>
      </c>
      <c r="K364" s="132">
        <f t="shared" ref="K364:K375" si="165">WORKDAY(J364,50)</f>
        <v>43927</v>
      </c>
      <c r="L364" s="132">
        <f t="shared" ref="L364:L375" si="166">WORKDAY(K364,1,)</f>
        <v>43928</v>
      </c>
      <c r="M364" s="132" t="s">
        <v>484</v>
      </c>
      <c r="N364" s="132" t="s">
        <v>484</v>
      </c>
      <c r="O364" s="132" t="s">
        <v>48</v>
      </c>
      <c r="P364" s="132" t="s">
        <v>48</v>
      </c>
      <c r="Q364" s="134" t="s">
        <v>49</v>
      </c>
      <c r="R364" s="134" t="s">
        <v>919</v>
      </c>
      <c r="S364" s="332">
        <f t="shared" ref="S364:S433" si="167">U364+V364</f>
        <v>20</v>
      </c>
      <c r="T364" s="362">
        <v>20</v>
      </c>
      <c r="U364" s="362">
        <v>0</v>
      </c>
      <c r="V364" s="362">
        <v>20</v>
      </c>
      <c r="Z364" s="134" t="s">
        <v>52</v>
      </c>
      <c r="AA364" s="134" t="s">
        <v>53</v>
      </c>
      <c r="AB364" s="134" t="s">
        <v>52</v>
      </c>
      <c r="AC364" s="134" t="s">
        <v>53</v>
      </c>
      <c r="AD364" s="134" t="s">
        <v>52</v>
      </c>
      <c r="AE364" s="134" t="s">
        <v>54</v>
      </c>
      <c r="AF364" s="134" t="s">
        <v>54</v>
      </c>
      <c r="AG364" s="134" t="s">
        <v>55</v>
      </c>
      <c r="AH364" s="134" t="s">
        <v>56</v>
      </c>
      <c r="AI364" s="134" t="s">
        <v>86</v>
      </c>
      <c r="AL364" s="134" t="s">
        <v>565</v>
      </c>
      <c r="AN364" s="134" t="s">
        <v>920</v>
      </c>
      <c r="AR364" s="135">
        <f>COUNTIF(B:B,B364)</f>
        <v>1</v>
      </c>
      <c r="AS364" s="135" t="str">
        <f t="shared" si="153"/>
        <v>2020_01_13_a</v>
      </c>
      <c r="AT364" s="136"/>
      <c r="AU364" s="135" t="str">
        <f t="shared" si="154"/>
        <v>2020</v>
      </c>
      <c r="AV364" s="135" t="str">
        <f t="shared" si="155"/>
        <v>01</v>
      </c>
      <c r="AW364" s="135" t="str">
        <f t="shared" si="156"/>
        <v>13</v>
      </c>
      <c r="AX364" s="135">
        <f t="shared" si="157"/>
        <v>43843</v>
      </c>
      <c r="AY364" s="137"/>
      <c r="AZ364" s="138">
        <f t="shared" si="158"/>
        <v>43843</v>
      </c>
      <c r="BA364" s="135" t="b">
        <f t="shared" si="159"/>
        <v>1</v>
      </c>
      <c r="BB364" s="135">
        <f t="shared" si="160"/>
        <v>43843</v>
      </c>
      <c r="BC364" s="135" t="str">
        <f t="shared" si="161"/>
        <v>no</v>
      </c>
      <c r="BD364" s="135" t="b">
        <f t="shared" si="162"/>
        <v>0</v>
      </c>
      <c r="BE364" s="139" t="s">
        <v>59</v>
      </c>
      <c r="BF364" s="130"/>
    </row>
    <row r="365" spans="1:58" s="134" customFormat="1" ht="24" customHeight="1">
      <c r="A365" s="129" t="s">
        <v>921</v>
      </c>
      <c r="B365" s="129" t="s">
        <v>922</v>
      </c>
      <c r="D365" s="360" t="s">
        <v>917</v>
      </c>
      <c r="F365" s="131" t="s">
        <v>918</v>
      </c>
      <c r="G365" s="132">
        <v>43843</v>
      </c>
      <c r="H365" s="133">
        <v>43843</v>
      </c>
      <c r="I365" s="132">
        <f t="shared" si="163"/>
        <v>43850</v>
      </c>
      <c r="J365" s="133">
        <f t="shared" si="164"/>
        <v>43857</v>
      </c>
      <c r="K365" s="132">
        <f t="shared" si="165"/>
        <v>43927</v>
      </c>
      <c r="L365" s="132">
        <f t="shared" si="166"/>
        <v>43928</v>
      </c>
      <c r="M365" s="132" t="s">
        <v>484</v>
      </c>
      <c r="N365" s="132" t="s">
        <v>484</v>
      </c>
      <c r="O365" s="132" t="s">
        <v>48</v>
      </c>
      <c r="P365" s="132" t="s">
        <v>48</v>
      </c>
      <c r="Q365" s="134" t="s">
        <v>49</v>
      </c>
      <c r="R365" s="134" t="s">
        <v>923</v>
      </c>
      <c r="S365" s="332">
        <f t="shared" si="167"/>
        <v>6</v>
      </c>
      <c r="T365" s="363">
        <v>7</v>
      </c>
      <c r="U365" s="363">
        <v>0</v>
      </c>
      <c r="V365" s="363">
        <v>6</v>
      </c>
      <c r="Z365" s="134" t="s">
        <v>52</v>
      </c>
      <c r="AA365" s="134" t="s">
        <v>53</v>
      </c>
      <c r="AB365" s="134" t="s">
        <v>52</v>
      </c>
      <c r="AC365" s="134" t="s">
        <v>53</v>
      </c>
      <c r="AD365" s="134" t="s">
        <v>52</v>
      </c>
      <c r="AE365" s="134" t="s">
        <v>54</v>
      </c>
      <c r="AF365" s="134" t="s">
        <v>54</v>
      </c>
      <c r="AG365" s="134" t="s">
        <v>55</v>
      </c>
      <c r="AH365" s="134" t="s">
        <v>56</v>
      </c>
      <c r="AI365" s="134" t="s">
        <v>86</v>
      </c>
      <c r="AL365" s="134" t="s">
        <v>565</v>
      </c>
      <c r="AN365" s="134" t="s">
        <v>920</v>
      </c>
      <c r="AR365" s="135">
        <f>COUNTIF(B:B,B365)</f>
        <v>1</v>
      </c>
      <c r="AS365" s="135" t="str">
        <f t="shared" si="153"/>
        <v>2020_01_13_b</v>
      </c>
      <c r="AT365" s="136"/>
      <c r="AU365" s="135" t="str">
        <f t="shared" si="154"/>
        <v>2020</v>
      </c>
      <c r="AV365" s="135" t="str">
        <f t="shared" si="155"/>
        <v>01</v>
      </c>
      <c r="AW365" s="135" t="str">
        <f t="shared" si="156"/>
        <v>13</v>
      </c>
      <c r="AX365" s="135">
        <f t="shared" si="157"/>
        <v>43843</v>
      </c>
      <c r="AY365" s="137"/>
      <c r="AZ365" s="138">
        <f t="shared" si="158"/>
        <v>43843</v>
      </c>
      <c r="BA365" s="135" t="b">
        <f t="shared" si="159"/>
        <v>1</v>
      </c>
      <c r="BB365" s="135">
        <f t="shared" si="160"/>
        <v>43843</v>
      </c>
      <c r="BC365" s="135" t="str">
        <f t="shared" si="161"/>
        <v>no</v>
      </c>
      <c r="BD365" s="135" t="b">
        <f t="shared" si="162"/>
        <v>0</v>
      </c>
      <c r="BE365" s="139" t="s">
        <v>59</v>
      </c>
      <c r="BF365" s="130"/>
    </row>
    <row r="366" spans="1:58" s="134" customFormat="1" ht="24" customHeight="1">
      <c r="A366" s="129" t="s">
        <v>924</v>
      </c>
      <c r="B366" s="129" t="s">
        <v>925</v>
      </c>
      <c r="D366" s="360" t="s">
        <v>917</v>
      </c>
      <c r="F366" s="131" t="s">
        <v>918</v>
      </c>
      <c r="G366" s="132" t="s">
        <v>926</v>
      </c>
      <c r="H366" s="133">
        <v>43857</v>
      </c>
      <c r="I366" s="132">
        <f t="shared" si="163"/>
        <v>43864</v>
      </c>
      <c r="J366" s="133">
        <f t="shared" si="164"/>
        <v>43871</v>
      </c>
      <c r="K366" s="132">
        <f t="shared" si="165"/>
        <v>43941</v>
      </c>
      <c r="L366" s="132">
        <f t="shared" si="166"/>
        <v>43942</v>
      </c>
      <c r="M366" s="132" t="s">
        <v>484</v>
      </c>
      <c r="N366" s="132" t="s">
        <v>484</v>
      </c>
      <c r="O366" s="132" t="s">
        <v>48</v>
      </c>
      <c r="P366" s="132" t="s">
        <v>48</v>
      </c>
      <c r="Q366" s="134" t="s">
        <v>49</v>
      </c>
      <c r="R366" s="134" t="s">
        <v>927</v>
      </c>
      <c r="S366" s="332">
        <f t="shared" si="167"/>
        <v>4</v>
      </c>
      <c r="T366" s="363">
        <v>4</v>
      </c>
      <c r="U366" s="363">
        <v>0</v>
      </c>
      <c r="V366" s="363">
        <v>4</v>
      </c>
      <c r="Z366" s="134" t="s">
        <v>52</v>
      </c>
      <c r="AA366" s="134" t="s">
        <v>53</v>
      </c>
      <c r="AB366" s="134" t="s">
        <v>52</v>
      </c>
      <c r="AC366" s="134" t="s">
        <v>53</v>
      </c>
      <c r="AD366" s="134" t="s">
        <v>52</v>
      </c>
      <c r="AE366" s="134" t="s">
        <v>54</v>
      </c>
      <c r="AF366" s="134" t="s">
        <v>54</v>
      </c>
      <c r="AG366" s="134" t="s">
        <v>55</v>
      </c>
      <c r="AH366" s="134" t="s">
        <v>56</v>
      </c>
      <c r="AI366" s="134" t="s">
        <v>86</v>
      </c>
      <c r="AL366" s="134" t="s">
        <v>565</v>
      </c>
      <c r="AN366" s="134" t="s">
        <v>920</v>
      </c>
      <c r="AR366" s="135">
        <f>COUNTIF(B:B,B366)</f>
        <v>1</v>
      </c>
      <c r="AS366" s="135" t="str">
        <f t="shared" si="153"/>
        <v>2020_01_27_a</v>
      </c>
      <c r="AT366" s="136"/>
      <c r="AU366" s="135" t="str">
        <f t="shared" si="154"/>
        <v>2020</v>
      </c>
      <c r="AV366" s="135" t="str">
        <f t="shared" si="155"/>
        <v>01</v>
      </c>
      <c r="AW366" s="135" t="str">
        <f t="shared" si="156"/>
        <v>27</v>
      </c>
      <c r="AX366" s="135">
        <f t="shared" si="157"/>
        <v>43857</v>
      </c>
      <c r="AY366" s="137"/>
      <c r="AZ366" s="138">
        <f t="shared" si="158"/>
        <v>43857</v>
      </c>
      <c r="BA366" s="135" t="b">
        <f t="shared" si="159"/>
        <v>1</v>
      </c>
      <c r="BB366" s="135">
        <f t="shared" si="160"/>
        <v>43857</v>
      </c>
      <c r="BC366" s="135" t="str">
        <f t="shared" si="161"/>
        <v>no</v>
      </c>
      <c r="BD366" s="135" t="b">
        <f t="shared" si="162"/>
        <v>0</v>
      </c>
      <c r="BE366" s="139" t="s">
        <v>59</v>
      </c>
      <c r="BF366" s="130"/>
    </row>
    <row r="367" spans="1:58" s="134" customFormat="1" ht="24" customHeight="1">
      <c r="A367" s="129" t="s">
        <v>928</v>
      </c>
      <c r="B367" s="129" t="s">
        <v>929</v>
      </c>
      <c r="D367" s="360" t="s">
        <v>917</v>
      </c>
      <c r="F367" s="131" t="s">
        <v>918</v>
      </c>
      <c r="G367" s="132">
        <v>43864</v>
      </c>
      <c r="H367" s="133">
        <v>43864</v>
      </c>
      <c r="I367" s="132">
        <f t="shared" si="163"/>
        <v>43871</v>
      </c>
      <c r="J367" s="133">
        <f t="shared" si="164"/>
        <v>43878</v>
      </c>
      <c r="K367" s="132">
        <f t="shared" si="165"/>
        <v>43948</v>
      </c>
      <c r="L367" s="132">
        <f t="shared" si="166"/>
        <v>43949</v>
      </c>
      <c r="M367" s="132" t="s">
        <v>484</v>
      </c>
      <c r="N367" s="132" t="s">
        <v>484</v>
      </c>
      <c r="O367" s="132" t="s">
        <v>48</v>
      </c>
      <c r="P367" s="132" t="s">
        <v>48</v>
      </c>
      <c r="Q367" s="134" t="s">
        <v>49</v>
      </c>
      <c r="R367" s="134" t="s">
        <v>919</v>
      </c>
      <c r="S367" s="332">
        <f t="shared" si="167"/>
        <v>7</v>
      </c>
      <c r="T367" s="363">
        <v>7</v>
      </c>
      <c r="U367" s="363">
        <v>0</v>
      </c>
      <c r="V367" s="363">
        <v>7</v>
      </c>
      <c r="Z367" s="134" t="s">
        <v>52</v>
      </c>
      <c r="AA367" s="134" t="s">
        <v>53</v>
      </c>
      <c r="AB367" s="134" t="s">
        <v>52</v>
      </c>
      <c r="AC367" s="134" t="s">
        <v>53</v>
      </c>
      <c r="AD367" s="134" t="s">
        <v>52</v>
      </c>
      <c r="AE367" s="134" t="s">
        <v>54</v>
      </c>
      <c r="AF367" s="134" t="s">
        <v>54</v>
      </c>
      <c r="AG367" s="134" t="s">
        <v>55</v>
      </c>
      <c r="AH367" s="134" t="s">
        <v>56</v>
      </c>
      <c r="AI367" s="134" t="s">
        <v>86</v>
      </c>
      <c r="AL367" s="134" t="s">
        <v>565</v>
      </c>
      <c r="AN367" s="134" t="s">
        <v>920</v>
      </c>
      <c r="AR367" s="135">
        <f>COUNTIF(B:B,B367)</f>
        <v>1</v>
      </c>
      <c r="AS367" s="135" t="str">
        <f t="shared" si="153"/>
        <v>2020_02_03_a</v>
      </c>
      <c r="AT367" s="136"/>
      <c r="AU367" s="135" t="str">
        <f t="shared" si="154"/>
        <v>2020</v>
      </c>
      <c r="AV367" s="135" t="str">
        <f t="shared" si="155"/>
        <v>02</v>
      </c>
      <c r="AW367" s="135" t="str">
        <f t="shared" si="156"/>
        <v>03</v>
      </c>
      <c r="AX367" s="135">
        <f t="shared" si="157"/>
        <v>43864</v>
      </c>
      <c r="AY367" s="137"/>
      <c r="AZ367" s="138">
        <f t="shared" si="158"/>
        <v>43864</v>
      </c>
      <c r="BA367" s="135" t="b">
        <f t="shared" si="159"/>
        <v>1</v>
      </c>
      <c r="BB367" s="135">
        <f t="shared" si="160"/>
        <v>43864</v>
      </c>
      <c r="BC367" s="135" t="str">
        <f t="shared" si="161"/>
        <v>no</v>
      </c>
      <c r="BD367" s="135" t="b">
        <f t="shared" si="162"/>
        <v>0</v>
      </c>
      <c r="BE367" s="139" t="s">
        <v>59</v>
      </c>
      <c r="BF367" s="130"/>
    </row>
    <row r="368" spans="1:58" s="134" customFormat="1" ht="24" customHeight="1">
      <c r="A368" s="129" t="s">
        <v>930</v>
      </c>
      <c r="B368" s="129" t="s">
        <v>931</v>
      </c>
      <c r="D368" s="360" t="s">
        <v>917</v>
      </c>
      <c r="F368" s="131" t="s">
        <v>918</v>
      </c>
      <c r="G368" s="132">
        <v>43864</v>
      </c>
      <c r="H368" s="133">
        <v>43864</v>
      </c>
      <c r="I368" s="132">
        <f t="shared" si="163"/>
        <v>43871</v>
      </c>
      <c r="J368" s="133">
        <f t="shared" si="164"/>
        <v>43878</v>
      </c>
      <c r="K368" s="132">
        <f t="shared" si="165"/>
        <v>43948</v>
      </c>
      <c r="L368" s="132">
        <f t="shared" si="166"/>
        <v>43949</v>
      </c>
      <c r="M368" s="132" t="s">
        <v>484</v>
      </c>
      <c r="N368" s="132" t="s">
        <v>484</v>
      </c>
      <c r="O368" s="132" t="s">
        <v>48</v>
      </c>
      <c r="P368" s="132" t="s">
        <v>48</v>
      </c>
      <c r="Q368" s="134" t="s">
        <v>49</v>
      </c>
      <c r="R368" s="134" t="s">
        <v>932</v>
      </c>
      <c r="S368" s="332">
        <f t="shared" si="167"/>
        <v>2</v>
      </c>
      <c r="T368" s="363">
        <v>2</v>
      </c>
      <c r="U368" s="363">
        <v>0</v>
      </c>
      <c r="V368" s="363">
        <v>2</v>
      </c>
      <c r="Z368" s="134" t="s">
        <v>52</v>
      </c>
      <c r="AA368" s="134" t="s">
        <v>53</v>
      </c>
      <c r="AB368" s="134" t="s">
        <v>52</v>
      </c>
      <c r="AC368" s="134" t="s">
        <v>53</v>
      </c>
      <c r="AD368" s="134" t="s">
        <v>52</v>
      </c>
      <c r="AE368" s="134" t="s">
        <v>54</v>
      </c>
      <c r="AF368" s="134" t="s">
        <v>54</v>
      </c>
      <c r="AG368" s="134" t="s">
        <v>55</v>
      </c>
      <c r="AH368" s="134" t="s">
        <v>56</v>
      </c>
      <c r="AI368" s="134" t="s">
        <v>86</v>
      </c>
      <c r="AL368" s="134" t="s">
        <v>565</v>
      </c>
      <c r="AN368" s="134" t="s">
        <v>920</v>
      </c>
      <c r="AR368" s="135">
        <f>COUNTIF(B:B,B368)</f>
        <v>1</v>
      </c>
      <c r="AS368" s="135" t="str">
        <f t="shared" si="153"/>
        <v>2020_02_03_b</v>
      </c>
      <c r="AT368" s="136"/>
      <c r="AU368" s="135" t="str">
        <f t="shared" si="154"/>
        <v>2020</v>
      </c>
      <c r="AV368" s="135" t="str">
        <f t="shared" si="155"/>
        <v>02</v>
      </c>
      <c r="AW368" s="135" t="str">
        <f t="shared" si="156"/>
        <v>03</v>
      </c>
      <c r="AX368" s="135">
        <f t="shared" si="157"/>
        <v>43864</v>
      </c>
      <c r="AY368" s="137"/>
      <c r="AZ368" s="138">
        <f t="shared" si="158"/>
        <v>43864</v>
      </c>
      <c r="BA368" s="135" t="b">
        <f t="shared" si="159"/>
        <v>1</v>
      </c>
      <c r="BB368" s="135">
        <f t="shared" si="160"/>
        <v>43864</v>
      </c>
      <c r="BC368" s="135" t="str">
        <f t="shared" si="161"/>
        <v>no</v>
      </c>
      <c r="BD368" s="135" t="b">
        <f t="shared" si="162"/>
        <v>0</v>
      </c>
      <c r="BE368" s="139" t="s">
        <v>59</v>
      </c>
      <c r="BF368" s="130"/>
    </row>
    <row r="369" spans="1:58" s="134" customFormat="1" ht="24" customHeight="1">
      <c r="A369" s="129" t="s">
        <v>933</v>
      </c>
      <c r="B369" s="129" t="s">
        <v>934</v>
      </c>
      <c r="D369" s="360" t="s">
        <v>917</v>
      </c>
      <c r="F369" s="131" t="s">
        <v>918</v>
      </c>
      <c r="G369" s="132">
        <v>43871</v>
      </c>
      <c r="H369" s="133">
        <v>43871</v>
      </c>
      <c r="I369" s="132">
        <f t="shared" si="163"/>
        <v>43878</v>
      </c>
      <c r="J369" s="133">
        <f t="shared" si="164"/>
        <v>43885</v>
      </c>
      <c r="K369" s="132">
        <f t="shared" si="165"/>
        <v>43955</v>
      </c>
      <c r="L369" s="132">
        <f t="shared" si="166"/>
        <v>43956</v>
      </c>
      <c r="M369" s="132" t="s">
        <v>484</v>
      </c>
      <c r="N369" s="132" t="s">
        <v>484</v>
      </c>
      <c r="O369" s="132" t="s">
        <v>48</v>
      </c>
      <c r="P369" s="132" t="s">
        <v>48</v>
      </c>
      <c r="Q369" s="134" t="s">
        <v>49</v>
      </c>
      <c r="R369" s="134" t="s">
        <v>923</v>
      </c>
      <c r="S369" s="332">
        <f t="shared" si="167"/>
        <v>13</v>
      </c>
      <c r="T369" s="363">
        <v>13</v>
      </c>
      <c r="U369" s="363">
        <v>0</v>
      </c>
      <c r="V369" s="363">
        <v>13</v>
      </c>
      <c r="Z369" s="134" t="s">
        <v>52</v>
      </c>
      <c r="AA369" s="134" t="s">
        <v>53</v>
      </c>
      <c r="AB369" s="134" t="s">
        <v>52</v>
      </c>
      <c r="AC369" s="134" t="s">
        <v>48</v>
      </c>
      <c r="AD369" s="134" t="s">
        <v>52</v>
      </c>
      <c r="AE369" s="134" t="s">
        <v>54</v>
      </c>
      <c r="AF369" s="134" t="s">
        <v>54</v>
      </c>
      <c r="AG369" s="134" t="s">
        <v>55</v>
      </c>
      <c r="AH369" s="134" t="s">
        <v>56</v>
      </c>
      <c r="AI369" s="134" t="s">
        <v>48</v>
      </c>
      <c r="AL369" s="134" t="s">
        <v>565</v>
      </c>
      <c r="AR369" s="135">
        <f>COUNTIF(B:B,B369)</f>
        <v>1</v>
      </c>
      <c r="AS369" s="135" t="str">
        <f t="shared" si="153"/>
        <v>2020_02_10_a</v>
      </c>
      <c r="AT369" s="136"/>
      <c r="AU369" s="135" t="str">
        <f t="shared" si="154"/>
        <v>2020</v>
      </c>
      <c r="AV369" s="135" t="str">
        <f t="shared" si="155"/>
        <v>02</v>
      </c>
      <c r="AW369" s="135" t="str">
        <f t="shared" si="156"/>
        <v>10</v>
      </c>
      <c r="AX369" s="135">
        <f t="shared" si="157"/>
        <v>43871</v>
      </c>
      <c r="AY369" s="137"/>
      <c r="AZ369" s="138">
        <f t="shared" si="158"/>
        <v>43871</v>
      </c>
      <c r="BA369" s="135" t="b">
        <f t="shared" si="159"/>
        <v>1</v>
      </c>
      <c r="BB369" s="135">
        <f t="shared" si="160"/>
        <v>43871</v>
      </c>
      <c r="BC369" s="135" t="str">
        <f t="shared" si="161"/>
        <v>no</v>
      </c>
      <c r="BD369" s="135" t="b">
        <f t="shared" si="162"/>
        <v>0</v>
      </c>
      <c r="BE369" s="139" t="s">
        <v>59</v>
      </c>
      <c r="BF369" s="130"/>
    </row>
    <row r="370" spans="1:58" s="134" customFormat="1" ht="24" customHeight="1">
      <c r="A370" s="129" t="s">
        <v>935</v>
      </c>
      <c r="B370" s="129" t="s">
        <v>936</v>
      </c>
      <c r="D370" s="360" t="s">
        <v>917</v>
      </c>
      <c r="F370" s="131" t="s">
        <v>918</v>
      </c>
      <c r="G370" s="132">
        <v>43878</v>
      </c>
      <c r="H370" s="133">
        <v>43878</v>
      </c>
      <c r="I370" s="132">
        <f t="shared" si="163"/>
        <v>43885</v>
      </c>
      <c r="J370" s="133">
        <f t="shared" si="164"/>
        <v>43892</v>
      </c>
      <c r="K370" s="132">
        <f t="shared" si="165"/>
        <v>43962</v>
      </c>
      <c r="L370" s="132">
        <f t="shared" si="166"/>
        <v>43963</v>
      </c>
      <c r="M370" s="132" t="s">
        <v>484</v>
      </c>
      <c r="N370" s="132" t="s">
        <v>484</v>
      </c>
      <c r="O370" s="132" t="s">
        <v>48</v>
      </c>
      <c r="P370" s="132" t="s">
        <v>48</v>
      </c>
      <c r="Q370" s="134" t="s">
        <v>49</v>
      </c>
      <c r="R370" s="134" t="s">
        <v>919</v>
      </c>
      <c r="S370" s="332">
        <f t="shared" si="167"/>
        <v>4</v>
      </c>
      <c r="T370" s="363">
        <v>4</v>
      </c>
      <c r="U370" s="363">
        <v>0</v>
      </c>
      <c r="V370" s="363">
        <v>4</v>
      </c>
      <c r="Z370" s="134" t="s">
        <v>52</v>
      </c>
      <c r="AA370" s="134" t="s">
        <v>53</v>
      </c>
      <c r="AB370" s="134" t="s">
        <v>52</v>
      </c>
      <c r="AC370" s="134" t="s">
        <v>53</v>
      </c>
      <c r="AD370" s="134" t="s">
        <v>52</v>
      </c>
      <c r="AE370" s="134" t="s">
        <v>54</v>
      </c>
      <c r="AF370" s="134" t="s">
        <v>54</v>
      </c>
      <c r="AG370" s="134" t="s">
        <v>55</v>
      </c>
      <c r="AH370" s="134" t="s">
        <v>56</v>
      </c>
      <c r="AI370" s="134" t="s">
        <v>86</v>
      </c>
      <c r="AL370" s="134" t="s">
        <v>565</v>
      </c>
      <c r="AN370" s="134" t="s">
        <v>920</v>
      </c>
      <c r="AR370" s="135">
        <f>COUNTIF(B:B,B370)</f>
        <v>1</v>
      </c>
      <c r="AS370" s="135" t="str">
        <f t="shared" si="153"/>
        <v>2020_02_17_a</v>
      </c>
      <c r="AT370" s="136"/>
      <c r="AU370" s="135" t="str">
        <f t="shared" si="154"/>
        <v>2020</v>
      </c>
      <c r="AV370" s="135" t="str">
        <f t="shared" si="155"/>
        <v>02</v>
      </c>
      <c r="AW370" s="135" t="str">
        <f t="shared" si="156"/>
        <v>17</v>
      </c>
      <c r="AX370" s="135">
        <f t="shared" si="157"/>
        <v>43878</v>
      </c>
      <c r="AY370" s="137"/>
      <c r="AZ370" s="138">
        <f t="shared" si="158"/>
        <v>43878</v>
      </c>
      <c r="BA370" s="135" t="b">
        <f t="shared" si="159"/>
        <v>1</v>
      </c>
      <c r="BB370" s="135">
        <f t="shared" si="160"/>
        <v>43878</v>
      </c>
      <c r="BC370" s="135" t="str">
        <f t="shared" si="161"/>
        <v>no</v>
      </c>
      <c r="BD370" s="135" t="b">
        <f t="shared" si="162"/>
        <v>0</v>
      </c>
      <c r="BE370" s="139" t="s">
        <v>59</v>
      </c>
      <c r="BF370" s="130"/>
    </row>
    <row r="371" spans="1:58" s="134" customFormat="1" ht="24" customHeight="1">
      <c r="A371" s="129" t="s">
        <v>937</v>
      </c>
      <c r="B371" s="129" t="s">
        <v>938</v>
      </c>
      <c r="D371" s="360" t="s">
        <v>917</v>
      </c>
      <c r="F371" s="131" t="s">
        <v>918</v>
      </c>
      <c r="G371" s="132">
        <v>43878</v>
      </c>
      <c r="H371" s="133">
        <v>43878</v>
      </c>
      <c r="I371" s="132">
        <f t="shared" si="163"/>
        <v>43885</v>
      </c>
      <c r="J371" s="133">
        <f t="shared" si="164"/>
        <v>43892</v>
      </c>
      <c r="K371" s="132">
        <f t="shared" si="165"/>
        <v>43962</v>
      </c>
      <c r="L371" s="132">
        <f t="shared" si="166"/>
        <v>43963</v>
      </c>
      <c r="M371" s="132" t="s">
        <v>484</v>
      </c>
      <c r="N371" s="132" t="s">
        <v>484</v>
      </c>
      <c r="O371" s="132" t="s">
        <v>48</v>
      </c>
      <c r="P371" s="132" t="s">
        <v>48</v>
      </c>
      <c r="Q371" s="134" t="s">
        <v>49</v>
      </c>
      <c r="R371" s="134" t="s">
        <v>932</v>
      </c>
      <c r="S371" s="332">
        <f t="shared" si="167"/>
        <v>2</v>
      </c>
      <c r="T371" s="363">
        <v>2</v>
      </c>
      <c r="U371" s="363">
        <v>0</v>
      </c>
      <c r="V371" s="363">
        <v>2</v>
      </c>
      <c r="Z371" s="134" t="s">
        <v>52</v>
      </c>
      <c r="AA371" s="134" t="s">
        <v>53</v>
      </c>
      <c r="AB371" s="134" t="s">
        <v>52</v>
      </c>
      <c r="AC371" s="134" t="s">
        <v>53</v>
      </c>
      <c r="AD371" s="134" t="s">
        <v>52</v>
      </c>
      <c r="AE371" s="134" t="s">
        <v>54</v>
      </c>
      <c r="AF371" s="134" t="s">
        <v>54</v>
      </c>
      <c r="AG371" s="134" t="s">
        <v>55</v>
      </c>
      <c r="AH371" s="134" t="s">
        <v>56</v>
      </c>
      <c r="AI371" s="134" t="s">
        <v>86</v>
      </c>
      <c r="AL371" s="134" t="s">
        <v>565</v>
      </c>
      <c r="AN371" s="134" t="s">
        <v>920</v>
      </c>
      <c r="AR371" s="135">
        <f>COUNTIF(B:B,B371)</f>
        <v>1</v>
      </c>
      <c r="AS371" s="135" t="str">
        <f t="shared" si="153"/>
        <v>2020_02_17_b</v>
      </c>
      <c r="AT371" s="136"/>
      <c r="AU371" s="135" t="str">
        <f t="shared" si="154"/>
        <v>2020</v>
      </c>
      <c r="AV371" s="135" t="str">
        <f t="shared" si="155"/>
        <v>02</v>
      </c>
      <c r="AW371" s="135" t="str">
        <f t="shared" si="156"/>
        <v>17</v>
      </c>
      <c r="AX371" s="135">
        <f t="shared" si="157"/>
        <v>43878</v>
      </c>
      <c r="AY371" s="137"/>
      <c r="AZ371" s="138">
        <f t="shared" si="158"/>
        <v>43878</v>
      </c>
      <c r="BA371" s="135" t="b">
        <f t="shared" si="159"/>
        <v>1</v>
      </c>
      <c r="BB371" s="135">
        <f t="shared" si="160"/>
        <v>43878</v>
      </c>
      <c r="BC371" s="135" t="str">
        <f t="shared" si="161"/>
        <v>no</v>
      </c>
      <c r="BD371" s="135" t="b">
        <f t="shared" si="162"/>
        <v>0</v>
      </c>
      <c r="BE371" s="139" t="s">
        <v>59</v>
      </c>
      <c r="BF371" s="130"/>
    </row>
    <row r="372" spans="1:58" s="134" customFormat="1" ht="24" customHeight="1">
      <c r="A372" s="129" t="s">
        <v>939</v>
      </c>
      <c r="B372" s="129" t="s">
        <v>940</v>
      </c>
      <c r="D372" s="360" t="s">
        <v>917</v>
      </c>
      <c r="F372" s="131" t="s">
        <v>918</v>
      </c>
      <c r="G372" s="132" t="s">
        <v>941</v>
      </c>
      <c r="H372" s="133">
        <v>43885</v>
      </c>
      <c r="I372" s="132">
        <f t="shared" si="163"/>
        <v>43892</v>
      </c>
      <c r="J372" s="133">
        <f t="shared" si="164"/>
        <v>43899</v>
      </c>
      <c r="K372" s="132">
        <f t="shared" si="165"/>
        <v>43969</v>
      </c>
      <c r="L372" s="132">
        <f t="shared" si="166"/>
        <v>43970</v>
      </c>
      <c r="M372" s="132" t="s">
        <v>484</v>
      </c>
      <c r="N372" s="132" t="s">
        <v>484</v>
      </c>
      <c r="O372" s="132" t="s">
        <v>48</v>
      </c>
      <c r="P372" s="132" t="s">
        <v>48</v>
      </c>
      <c r="Q372" s="134" t="s">
        <v>49</v>
      </c>
      <c r="R372" s="134" t="s">
        <v>923</v>
      </c>
      <c r="S372" s="332">
        <f t="shared" si="167"/>
        <v>2</v>
      </c>
      <c r="T372" s="363">
        <v>2</v>
      </c>
      <c r="U372" s="363">
        <v>0</v>
      </c>
      <c r="V372" s="363">
        <v>2</v>
      </c>
      <c r="Z372" s="134" t="s">
        <v>52</v>
      </c>
      <c r="AA372" s="134" t="s">
        <v>53</v>
      </c>
      <c r="AB372" s="134" t="s">
        <v>52</v>
      </c>
      <c r="AC372" s="134" t="s">
        <v>53</v>
      </c>
      <c r="AD372" s="134" t="s">
        <v>52</v>
      </c>
      <c r="AE372" s="134" t="s">
        <v>54</v>
      </c>
      <c r="AF372" s="134" t="s">
        <v>54</v>
      </c>
      <c r="AG372" s="134" t="s">
        <v>55</v>
      </c>
      <c r="AH372" s="134" t="s">
        <v>56</v>
      </c>
      <c r="AI372" s="134" t="s">
        <v>86</v>
      </c>
      <c r="AL372" s="134" t="s">
        <v>565</v>
      </c>
      <c r="AN372" s="134" t="s">
        <v>920</v>
      </c>
      <c r="AR372" s="135">
        <f>COUNTIF(B:B,B372)</f>
        <v>1</v>
      </c>
      <c r="AS372" s="135" t="str">
        <f t="shared" si="153"/>
        <v>2020_02_24_a</v>
      </c>
      <c r="AT372" s="136"/>
      <c r="AU372" s="135" t="str">
        <f t="shared" si="154"/>
        <v>2020</v>
      </c>
      <c r="AV372" s="135" t="str">
        <f t="shared" si="155"/>
        <v>02</v>
      </c>
      <c r="AW372" s="135" t="str">
        <f t="shared" si="156"/>
        <v>24</v>
      </c>
      <c r="AX372" s="135">
        <f t="shared" si="157"/>
        <v>43885</v>
      </c>
      <c r="AY372" s="137"/>
      <c r="AZ372" s="138">
        <f t="shared" si="158"/>
        <v>43885</v>
      </c>
      <c r="BA372" s="135" t="b">
        <f t="shared" si="159"/>
        <v>1</v>
      </c>
      <c r="BB372" s="135">
        <f t="shared" si="160"/>
        <v>43885</v>
      </c>
      <c r="BC372" s="135" t="str">
        <f t="shared" si="161"/>
        <v>no</v>
      </c>
      <c r="BD372" s="135" t="b">
        <f t="shared" si="162"/>
        <v>0</v>
      </c>
      <c r="BE372" s="139" t="s">
        <v>59</v>
      </c>
      <c r="BF372" s="130"/>
    </row>
    <row r="373" spans="1:58" s="197" customFormat="1" ht="24" customHeight="1">
      <c r="B373" s="134" t="s">
        <v>942</v>
      </c>
      <c r="C373" s="134"/>
      <c r="D373" s="360" t="s">
        <v>917</v>
      </c>
      <c r="E373" s="134"/>
      <c r="F373" s="131" t="s">
        <v>918</v>
      </c>
      <c r="G373" s="132">
        <v>43906</v>
      </c>
      <c r="H373" s="145">
        <v>43906</v>
      </c>
      <c r="I373" s="132">
        <f t="shared" si="163"/>
        <v>43913</v>
      </c>
      <c r="J373" s="133">
        <f t="shared" si="164"/>
        <v>43920</v>
      </c>
      <c r="K373" s="132">
        <f t="shared" si="165"/>
        <v>43990</v>
      </c>
      <c r="L373" s="132">
        <f t="shared" si="166"/>
        <v>43991</v>
      </c>
      <c r="M373" s="132"/>
      <c r="N373" s="132"/>
      <c r="O373" s="132"/>
      <c r="P373" s="132"/>
      <c r="Q373" s="134"/>
      <c r="R373" s="134"/>
      <c r="S373" s="332">
        <f t="shared" si="167"/>
        <v>4</v>
      </c>
      <c r="T373" s="363">
        <v>4</v>
      </c>
      <c r="U373" s="363">
        <v>0</v>
      </c>
      <c r="V373" s="363">
        <v>4</v>
      </c>
      <c r="W373" s="134"/>
      <c r="X373" s="134"/>
      <c r="Y373" s="134"/>
      <c r="Z373" s="134" t="s">
        <v>52</v>
      </c>
      <c r="AA373" s="134" t="s">
        <v>53</v>
      </c>
      <c r="AB373" s="134" t="s">
        <v>52</v>
      </c>
      <c r="AC373" s="134" t="s">
        <v>54</v>
      </c>
      <c r="AD373" s="134" t="s">
        <v>52</v>
      </c>
      <c r="AE373" s="134"/>
      <c r="AF373" s="134"/>
      <c r="AG373" s="134" t="s">
        <v>55</v>
      </c>
      <c r="AH373" s="134" t="s">
        <v>56</v>
      </c>
      <c r="AI373" s="134" t="s">
        <v>86</v>
      </c>
      <c r="AJ373" s="134"/>
      <c r="AK373" s="134"/>
      <c r="AL373" s="134"/>
      <c r="AM373" s="134"/>
      <c r="AN373" s="134" t="s">
        <v>920</v>
      </c>
      <c r="AO373" s="134"/>
      <c r="AP373" s="134"/>
      <c r="AQ373" s="134"/>
      <c r="AR373" s="135">
        <f>COUNTIF(B:B,B373)</f>
        <v>1</v>
      </c>
      <c r="AS373" s="135" t="str">
        <f t="shared" si="153"/>
        <v>2020_03_16_a</v>
      </c>
      <c r="AT373" s="136"/>
      <c r="AU373" s="135" t="str">
        <f t="shared" si="154"/>
        <v>2020</v>
      </c>
      <c r="AV373" s="135" t="str">
        <f t="shared" si="155"/>
        <v>03</v>
      </c>
      <c r="AW373" s="135" t="str">
        <f t="shared" si="156"/>
        <v>16</v>
      </c>
      <c r="AX373" s="135">
        <f t="shared" si="157"/>
        <v>43906</v>
      </c>
      <c r="AY373" s="137"/>
      <c r="AZ373" s="138">
        <f t="shared" si="158"/>
        <v>43906</v>
      </c>
      <c r="BA373" s="135" t="b">
        <f t="shared" si="159"/>
        <v>1</v>
      </c>
      <c r="BB373" s="135">
        <f t="shared" si="160"/>
        <v>43906</v>
      </c>
      <c r="BC373" s="135" t="str">
        <f t="shared" si="161"/>
        <v>no</v>
      </c>
      <c r="BD373" s="135" t="b">
        <f t="shared" si="162"/>
        <v>0</v>
      </c>
      <c r="BE373" s="139" t="s">
        <v>59</v>
      </c>
      <c r="BF373" s="130"/>
    </row>
    <row r="374" spans="1:58" s="197" customFormat="1" ht="24" customHeight="1">
      <c r="B374" s="134" t="s">
        <v>943</v>
      </c>
      <c r="C374" s="134"/>
      <c r="D374" s="360" t="s">
        <v>917</v>
      </c>
      <c r="E374" s="134"/>
      <c r="F374" s="131" t="s">
        <v>918</v>
      </c>
      <c r="G374" s="132">
        <v>43910</v>
      </c>
      <c r="H374" s="145">
        <v>43910</v>
      </c>
      <c r="I374" s="132">
        <f t="shared" si="163"/>
        <v>43917</v>
      </c>
      <c r="J374" s="133">
        <f t="shared" si="164"/>
        <v>43924</v>
      </c>
      <c r="K374" s="132">
        <f t="shared" si="165"/>
        <v>43994</v>
      </c>
      <c r="L374" s="132">
        <f t="shared" si="166"/>
        <v>43997</v>
      </c>
      <c r="M374" s="132"/>
      <c r="N374" s="132"/>
      <c r="O374" s="132"/>
      <c r="P374" s="132"/>
      <c r="Q374" s="134"/>
      <c r="R374" s="134"/>
      <c r="S374" s="332">
        <f t="shared" si="167"/>
        <v>1</v>
      </c>
      <c r="T374" s="363">
        <v>1</v>
      </c>
      <c r="U374" s="363">
        <v>0</v>
      </c>
      <c r="V374" s="363">
        <v>1</v>
      </c>
      <c r="W374" s="134"/>
      <c r="X374" s="134"/>
      <c r="Y374" s="134"/>
      <c r="Z374" s="134" t="s">
        <v>52</v>
      </c>
      <c r="AA374" s="134" t="s">
        <v>53</v>
      </c>
      <c r="AB374" s="134" t="s">
        <v>52</v>
      </c>
      <c r="AC374" s="134" t="s">
        <v>54</v>
      </c>
      <c r="AD374" s="134" t="s">
        <v>52</v>
      </c>
      <c r="AE374" s="134"/>
      <c r="AF374" s="134"/>
      <c r="AG374" s="134" t="s">
        <v>55</v>
      </c>
      <c r="AH374" s="134" t="s">
        <v>56</v>
      </c>
      <c r="AI374" s="134" t="s">
        <v>86</v>
      </c>
      <c r="AJ374" s="134"/>
      <c r="AK374" s="134"/>
      <c r="AL374" s="134"/>
      <c r="AM374" s="134"/>
      <c r="AN374" s="134" t="s">
        <v>920</v>
      </c>
      <c r="AO374" s="134"/>
      <c r="AP374" s="134"/>
      <c r="AQ374" s="134"/>
      <c r="AR374" s="135">
        <f>COUNTIF(B:B,B374)</f>
        <v>1</v>
      </c>
      <c r="AS374" s="135" t="str">
        <f t="shared" si="153"/>
        <v>2020_03_20_a</v>
      </c>
      <c r="AT374" s="136"/>
      <c r="AU374" s="135" t="str">
        <f t="shared" si="154"/>
        <v>2020</v>
      </c>
      <c r="AV374" s="135" t="str">
        <f t="shared" si="155"/>
        <v>03</v>
      </c>
      <c r="AW374" s="135" t="str">
        <f t="shared" si="156"/>
        <v>20</v>
      </c>
      <c r="AX374" s="135">
        <f t="shared" si="157"/>
        <v>43910</v>
      </c>
      <c r="AY374" s="137"/>
      <c r="AZ374" s="138">
        <f t="shared" si="158"/>
        <v>43910</v>
      </c>
      <c r="BA374" s="135" t="b">
        <f t="shared" si="159"/>
        <v>1</v>
      </c>
      <c r="BB374" s="135">
        <f t="shared" si="160"/>
        <v>43910</v>
      </c>
      <c r="BC374" s="135" t="str">
        <f t="shared" si="161"/>
        <v>no</v>
      </c>
      <c r="BD374" s="135" t="b">
        <f t="shared" si="162"/>
        <v>0</v>
      </c>
      <c r="BE374" s="139" t="s">
        <v>59</v>
      </c>
      <c r="BF374" s="130"/>
    </row>
    <row r="375" spans="1:58" s="197" customFormat="1" ht="24" customHeight="1">
      <c r="B375" s="134" t="s">
        <v>944</v>
      </c>
      <c r="C375" s="134"/>
      <c r="D375" s="360" t="s">
        <v>917</v>
      </c>
      <c r="E375" s="134"/>
      <c r="F375" s="131" t="s">
        <v>918</v>
      </c>
      <c r="G375" s="132">
        <v>43913</v>
      </c>
      <c r="H375" s="145">
        <v>43913</v>
      </c>
      <c r="I375" s="132">
        <f t="shared" si="163"/>
        <v>43920</v>
      </c>
      <c r="J375" s="133">
        <f t="shared" si="164"/>
        <v>43927</v>
      </c>
      <c r="K375" s="132">
        <f t="shared" si="165"/>
        <v>43997</v>
      </c>
      <c r="L375" s="132">
        <f t="shared" si="166"/>
        <v>43998</v>
      </c>
      <c r="M375" s="132"/>
      <c r="N375" s="132"/>
      <c r="O375" s="132"/>
      <c r="P375" s="132"/>
      <c r="Q375" s="134"/>
      <c r="R375" s="134"/>
      <c r="S375" s="332">
        <f t="shared" si="167"/>
        <v>5</v>
      </c>
      <c r="T375" s="363">
        <v>5</v>
      </c>
      <c r="U375" s="363">
        <v>0</v>
      </c>
      <c r="V375" s="363">
        <v>5</v>
      </c>
      <c r="W375" s="134"/>
      <c r="X375" s="134"/>
      <c r="Y375" s="134"/>
      <c r="Z375" s="134" t="s">
        <v>52</v>
      </c>
      <c r="AA375" s="134" t="s">
        <v>53</v>
      </c>
      <c r="AB375" s="134" t="s">
        <v>52</v>
      </c>
      <c r="AC375" s="134" t="s">
        <v>54</v>
      </c>
      <c r="AD375" s="134" t="s">
        <v>52</v>
      </c>
      <c r="AE375" s="134"/>
      <c r="AF375" s="134"/>
      <c r="AG375" s="134" t="s">
        <v>55</v>
      </c>
      <c r="AH375" s="134" t="s">
        <v>56</v>
      </c>
      <c r="AI375" s="134" t="s">
        <v>86</v>
      </c>
      <c r="AJ375" s="134"/>
      <c r="AK375" s="134"/>
      <c r="AL375" s="134"/>
      <c r="AM375" s="134"/>
      <c r="AN375" s="134" t="s">
        <v>920</v>
      </c>
      <c r="AO375" s="134"/>
      <c r="AP375" s="134"/>
      <c r="AQ375" s="134"/>
      <c r="AR375" s="135">
        <f>COUNTIF(B:B,B375)</f>
        <v>1</v>
      </c>
      <c r="AS375" s="135" t="str">
        <f t="shared" si="153"/>
        <v>2020_03_23_a</v>
      </c>
      <c r="AT375" s="136"/>
      <c r="AU375" s="135" t="str">
        <f t="shared" si="154"/>
        <v>2020</v>
      </c>
      <c r="AV375" s="135" t="str">
        <f t="shared" si="155"/>
        <v>03</v>
      </c>
      <c r="AW375" s="135" t="str">
        <f t="shared" si="156"/>
        <v>23</v>
      </c>
      <c r="AX375" s="135">
        <f t="shared" si="157"/>
        <v>43913</v>
      </c>
      <c r="AY375" s="137"/>
      <c r="AZ375" s="138">
        <f t="shared" si="158"/>
        <v>43913</v>
      </c>
      <c r="BA375" s="135" t="b">
        <f t="shared" si="159"/>
        <v>1</v>
      </c>
      <c r="BB375" s="135">
        <f t="shared" si="160"/>
        <v>43913</v>
      </c>
      <c r="BC375" s="135" t="str">
        <f t="shared" si="161"/>
        <v>no</v>
      </c>
      <c r="BD375" s="135" t="b">
        <f t="shared" si="162"/>
        <v>0</v>
      </c>
      <c r="BE375" s="139" t="s">
        <v>59</v>
      </c>
      <c r="BF375" s="130"/>
    </row>
    <row r="376" spans="1:58" s="199" customFormat="1" ht="24" customHeight="1">
      <c r="A376" s="198" t="s">
        <v>945</v>
      </c>
      <c r="B376" s="198" t="s">
        <v>946</v>
      </c>
      <c r="C376" s="146" t="s">
        <v>947</v>
      </c>
      <c r="D376" s="227">
        <v>10079845</v>
      </c>
      <c r="E376" s="143" t="s">
        <v>80</v>
      </c>
      <c r="F376" s="143" t="s">
        <v>918</v>
      </c>
      <c r="G376" s="146" t="s">
        <v>948</v>
      </c>
      <c r="H376" s="145">
        <v>43927</v>
      </c>
      <c r="I376" s="144">
        <v>43931</v>
      </c>
      <c r="J376" s="145">
        <f t="shared" si="164"/>
        <v>43941</v>
      </c>
      <c r="K376" s="144">
        <v>43969</v>
      </c>
      <c r="L376" s="144">
        <v>43970</v>
      </c>
      <c r="M376" s="144">
        <v>44041</v>
      </c>
      <c r="N376" s="144">
        <v>44047</v>
      </c>
      <c r="O376" s="144" t="s">
        <v>48</v>
      </c>
      <c r="P376" s="144" t="s">
        <v>48</v>
      </c>
      <c r="Q376" s="146" t="s">
        <v>49</v>
      </c>
      <c r="R376" s="146" t="s">
        <v>949</v>
      </c>
      <c r="S376" s="332">
        <f t="shared" si="167"/>
        <v>21</v>
      </c>
      <c r="T376" s="362">
        <v>21</v>
      </c>
      <c r="U376" s="362">
        <v>4</v>
      </c>
      <c r="V376" s="362">
        <v>17</v>
      </c>
      <c r="W376" s="146"/>
      <c r="X376" s="146"/>
      <c r="Y376" s="146"/>
      <c r="Z376" s="144" t="s">
        <v>52</v>
      </c>
      <c r="AA376" s="144" t="s">
        <v>53</v>
      </c>
      <c r="AB376" s="144" t="s">
        <v>52</v>
      </c>
      <c r="AC376" s="144" t="s">
        <v>52</v>
      </c>
      <c r="AD376" s="144" t="s">
        <v>52</v>
      </c>
      <c r="AE376" s="146" t="s">
        <v>54</v>
      </c>
      <c r="AF376" s="146" t="s">
        <v>54</v>
      </c>
      <c r="AG376" s="146" t="s">
        <v>85</v>
      </c>
      <c r="AH376" s="146" t="s">
        <v>86</v>
      </c>
      <c r="AI376" s="146" t="s">
        <v>86</v>
      </c>
      <c r="AJ376" s="146"/>
      <c r="AK376" s="146">
        <v>100</v>
      </c>
      <c r="AL376" s="146" t="s">
        <v>950</v>
      </c>
      <c r="AM376" s="146"/>
      <c r="AN376" s="146" t="s">
        <v>951</v>
      </c>
      <c r="AO376" s="146"/>
      <c r="AP376" s="146"/>
      <c r="AQ376" s="146"/>
      <c r="AR376" s="135">
        <f>COUNTIF(B:B,B376)</f>
        <v>1</v>
      </c>
      <c r="AS376" s="135" t="str">
        <f t="shared" si="153"/>
        <v>2020_04_06_a</v>
      </c>
      <c r="AT376" s="136"/>
      <c r="AU376" s="135" t="str">
        <f t="shared" si="154"/>
        <v>2020</v>
      </c>
      <c r="AV376" s="135" t="str">
        <f t="shared" si="155"/>
        <v>04</v>
      </c>
      <c r="AW376" s="135" t="str">
        <f t="shared" si="156"/>
        <v>06</v>
      </c>
      <c r="AX376" s="135">
        <f t="shared" si="157"/>
        <v>43927</v>
      </c>
      <c r="AY376" s="137"/>
      <c r="AZ376" s="138">
        <f t="shared" si="158"/>
        <v>43927</v>
      </c>
      <c r="BA376" s="135" t="b">
        <f t="shared" si="159"/>
        <v>1</v>
      </c>
      <c r="BB376" s="135">
        <f t="shared" si="160"/>
        <v>43927</v>
      </c>
      <c r="BC376" s="135" t="str">
        <f t="shared" si="161"/>
        <v>no</v>
      </c>
      <c r="BD376" s="135" t="b">
        <f t="shared" si="162"/>
        <v>0</v>
      </c>
      <c r="BE376" s="139" t="s">
        <v>59</v>
      </c>
      <c r="BF376" s="130"/>
    </row>
    <row r="377" spans="1:58" s="134" customFormat="1" ht="24" customHeight="1">
      <c r="A377" s="198" t="s">
        <v>952</v>
      </c>
      <c r="B377" s="198" t="s">
        <v>953</v>
      </c>
      <c r="D377" s="240">
        <v>10086538</v>
      </c>
      <c r="F377" s="131" t="s">
        <v>918</v>
      </c>
      <c r="G377" s="131" t="s">
        <v>954</v>
      </c>
      <c r="H377" s="133">
        <v>44025</v>
      </c>
      <c r="I377" s="132">
        <v>44036</v>
      </c>
      <c r="J377" s="133">
        <f t="shared" si="164"/>
        <v>44039</v>
      </c>
      <c r="K377" s="132">
        <f>WORKDAY(J377,50)</f>
        <v>44109</v>
      </c>
      <c r="L377" s="132">
        <f>WORKDAY(K377,1,)</f>
        <v>44110</v>
      </c>
      <c r="M377" s="132" t="s">
        <v>48</v>
      </c>
      <c r="N377" s="132" t="s">
        <v>48</v>
      </c>
      <c r="O377" s="132" t="s">
        <v>48</v>
      </c>
      <c r="P377" s="132" t="s">
        <v>48</v>
      </c>
      <c r="Q377" s="134" t="s">
        <v>93</v>
      </c>
      <c r="R377" s="134" t="s">
        <v>923</v>
      </c>
      <c r="S377" s="332">
        <f t="shared" si="167"/>
        <v>40</v>
      </c>
      <c r="T377" s="363">
        <v>40</v>
      </c>
      <c r="U377" s="363">
        <v>1</v>
      </c>
      <c r="V377" s="363">
        <v>39</v>
      </c>
      <c r="Z377" s="134" t="s">
        <v>52</v>
      </c>
      <c r="AA377" s="134" t="s">
        <v>53</v>
      </c>
      <c r="AB377" s="134" t="s">
        <v>52</v>
      </c>
      <c r="AC377" s="134" t="s">
        <v>48</v>
      </c>
      <c r="AD377" s="134" t="s">
        <v>52</v>
      </c>
      <c r="AE377" s="134" t="s">
        <v>54</v>
      </c>
      <c r="AF377" s="134" t="s">
        <v>54</v>
      </c>
      <c r="AG377" s="134" t="s">
        <v>85</v>
      </c>
      <c r="AH377" s="134" t="s">
        <v>86</v>
      </c>
      <c r="AI377" s="134" t="s">
        <v>48</v>
      </c>
      <c r="AL377" s="134" t="s">
        <v>565</v>
      </c>
      <c r="AR377" s="135">
        <f>COUNTIF(B:B,B377)</f>
        <v>1</v>
      </c>
      <c r="AS377" s="135" t="str">
        <f t="shared" si="153"/>
        <v>2020_07_13_a</v>
      </c>
      <c r="AT377" s="136"/>
      <c r="AU377" s="135" t="str">
        <f t="shared" si="154"/>
        <v>2020</v>
      </c>
      <c r="AV377" s="135" t="str">
        <f t="shared" si="155"/>
        <v>07</v>
      </c>
      <c r="AW377" s="135" t="str">
        <f t="shared" si="156"/>
        <v>13</v>
      </c>
      <c r="AX377" s="135">
        <f t="shared" si="157"/>
        <v>44025</v>
      </c>
      <c r="AY377" s="137"/>
      <c r="AZ377" s="138">
        <f t="shared" si="158"/>
        <v>44025</v>
      </c>
      <c r="BA377" s="135" t="b">
        <f t="shared" si="159"/>
        <v>1</v>
      </c>
      <c r="BB377" s="135">
        <f t="shared" si="160"/>
        <v>44025</v>
      </c>
      <c r="BC377" s="135" t="str">
        <f t="shared" si="161"/>
        <v>no</v>
      </c>
      <c r="BD377" s="135" t="b">
        <f t="shared" si="162"/>
        <v>0</v>
      </c>
      <c r="BE377" s="139" t="s">
        <v>59</v>
      </c>
      <c r="BF377" s="130"/>
    </row>
    <row r="378" spans="1:58" s="134" customFormat="1" ht="24" customHeight="1">
      <c r="A378" s="134" t="s">
        <v>955</v>
      </c>
      <c r="B378" s="134" t="s">
        <v>956</v>
      </c>
      <c r="D378" s="240">
        <v>10087097</v>
      </c>
      <c r="F378" s="131" t="s">
        <v>918</v>
      </c>
      <c r="G378" s="134" t="s">
        <v>957</v>
      </c>
      <c r="H378" s="133">
        <v>44039</v>
      </c>
      <c r="I378" s="132">
        <v>44050</v>
      </c>
      <c r="J378" s="133">
        <f t="shared" si="164"/>
        <v>44053</v>
      </c>
      <c r="K378" s="132">
        <f>WORKDAY(J378,50)</f>
        <v>44123</v>
      </c>
      <c r="L378" s="132">
        <f>WORKDAY(K378,1,)</f>
        <v>44124</v>
      </c>
      <c r="O378" s="134" t="s">
        <v>48</v>
      </c>
      <c r="P378" s="134" t="s">
        <v>48</v>
      </c>
      <c r="Q378" s="134" t="s">
        <v>93</v>
      </c>
      <c r="R378" s="134" t="s">
        <v>919</v>
      </c>
      <c r="S378" s="332">
        <f t="shared" si="167"/>
        <v>38</v>
      </c>
      <c r="T378" s="363">
        <v>38</v>
      </c>
      <c r="U378" s="363">
        <v>2</v>
      </c>
      <c r="V378" s="363">
        <v>36</v>
      </c>
      <c r="Z378" s="134" t="s">
        <v>52</v>
      </c>
      <c r="AA378" s="134" t="s">
        <v>53</v>
      </c>
      <c r="AB378" s="134" t="s">
        <v>52</v>
      </c>
      <c r="AC378" s="134" t="s">
        <v>48</v>
      </c>
      <c r="AD378" s="134" t="s">
        <v>53</v>
      </c>
      <c r="AE378" s="134" t="s">
        <v>54</v>
      </c>
      <c r="AF378" s="134" t="s">
        <v>54</v>
      </c>
      <c r="AG378" s="134" t="s">
        <v>85</v>
      </c>
      <c r="AH378" s="134" t="s">
        <v>86</v>
      </c>
      <c r="AI378" s="134" t="s">
        <v>48</v>
      </c>
      <c r="AL378" s="134" t="s">
        <v>565</v>
      </c>
      <c r="AR378" s="135">
        <f>COUNTIF(B:B,B378)</f>
        <v>1</v>
      </c>
      <c r="AS378" s="135" t="str">
        <f t="shared" si="153"/>
        <v>2020_07_27_a</v>
      </c>
      <c r="AT378" s="136"/>
      <c r="AU378" s="135" t="str">
        <f t="shared" si="154"/>
        <v>2020</v>
      </c>
      <c r="AV378" s="135" t="str">
        <f t="shared" si="155"/>
        <v>07</v>
      </c>
      <c r="AW378" s="135" t="str">
        <f t="shared" si="156"/>
        <v>27</v>
      </c>
      <c r="AX378" s="135">
        <f t="shared" si="157"/>
        <v>44039</v>
      </c>
      <c r="AY378" s="137"/>
      <c r="AZ378" s="138">
        <f t="shared" si="158"/>
        <v>44039</v>
      </c>
      <c r="BA378" s="135" t="b">
        <f t="shared" si="159"/>
        <v>1</v>
      </c>
      <c r="BB378" s="135">
        <f t="shared" si="160"/>
        <v>44039</v>
      </c>
      <c r="BC378" s="135" t="str">
        <f t="shared" si="161"/>
        <v>no</v>
      </c>
      <c r="BD378" s="135" t="b">
        <f t="shared" si="162"/>
        <v>0</v>
      </c>
      <c r="BE378" s="139" t="s">
        <v>59</v>
      </c>
      <c r="BF378" s="130"/>
    </row>
    <row r="379" spans="1:58" s="197" customFormat="1" ht="24" customHeight="1">
      <c r="B379" s="197" t="s">
        <v>958</v>
      </c>
      <c r="C379" s="134"/>
      <c r="D379" s="227">
        <v>10085643</v>
      </c>
      <c r="E379" s="134"/>
      <c r="F379" s="131" t="s">
        <v>918</v>
      </c>
      <c r="G379" s="132">
        <v>44060</v>
      </c>
      <c r="H379" s="133">
        <v>44060</v>
      </c>
      <c r="I379" s="132">
        <f>WORKDAY(H379,5)</f>
        <v>44067</v>
      </c>
      <c r="J379" s="133">
        <f t="shared" si="164"/>
        <v>44074</v>
      </c>
      <c r="K379" s="132">
        <f>WORKDAY(J379,50)</f>
        <v>44144</v>
      </c>
      <c r="L379" s="132">
        <f>WORKDAY(K379,1,)</f>
        <v>44145</v>
      </c>
      <c r="M379" s="132"/>
      <c r="N379" s="132"/>
      <c r="O379" s="132"/>
      <c r="P379" s="132"/>
      <c r="Q379" s="134"/>
      <c r="R379" s="134"/>
      <c r="S379" s="332">
        <f t="shared" si="167"/>
        <v>12</v>
      </c>
      <c r="T379" s="362">
        <v>12</v>
      </c>
      <c r="U379" s="362">
        <v>0</v>
      </c>
      <c r="V379" s="362">
        <v>12</v>
      </c>
      <c r="W379" s="134"/>
      <c r="X379" s="134"/>
      <c r="Y379" s="134"/>
      <c r="Z379" s="134" t="s">
        <v>52</v>
      </c>
      <c r="AA379" s="134" t="s">
        <v>53</v>
      </c>
      <c r="AB379" s="134" t="s">
        <v>52</v>
      </c>
      <c r="AC379" s="134" t="s">
        <v>48</v>
      </c>
      <c r="AD379" s="134" t="s">
        <v>53</v>
      </c>
      <c r="AE379" s="134"/>
      <c r="AF379" s="134"/>
      <c r="AG379" s="134" t="s">
        <v>85</v>
      </c>
      <c r="AH379" s="134" t="s">
        <v>86</v>
      </c>
      <c r="AI379" s="134" t="s">
        <v>48</v>
      </c>
      <c r="AJ379" s="134"/>
      <c r="AK379" s="134"/>
      <c r="AL379" s="134"/>
      <c r="AM379" s="134"/>
      <c r="AN379" s="134"/>
      <c r="AO379" s="134"/>
      <c r="AP379" s="134"/>
      <c r="AQ379" s="134"/>
      <c r="AR379" s="135">
        <f>COUNTIF(B:B,B379)</f>
        <v>1</v>
      </c>
      <c r="AS379" s="135" t="str">
        <f t="shared" si="153"/>
        <v>2020_08_17_a</v>
      </c>
      <c r="AT379" s="136"/>
      <c r="AU379" s="135" t="str">
        <f t="shared" si="154"/>
        <v>2020</v>
      </c>
      <c r="AV379" s="135" t="str">
        <f t="shared" si="155"/>
        <v>08</v>
      </c>
      <c r="AW379" s="135" t="str">
        <f t="shared" si="156"/>
        <v>17</v>
      </c>
      <c r="AX379" s="135">
        <f t="shared" si="157"/>
        <v>44060</v>
      </c>
      <c r="AY379" s="137"/>
      <c r="AZ379" s="138">
        <f t="shared" si="158"/>
        <v>44060</v>
      </c>
      <c r="BA379" s="135" t="b">
        <f t="shared" si="159"/>
        <v>1</v>
      </c>
      <c r="BB379" s="135">
        <f t="shared" si="160"/>
        <v>44060</v>
      </c>
      <c r="BC379" s="135" t="str">
        <f t="shared" si="161"/>
        <v>no</v>
      </c>
      <c r="BD379" s="135" t="b">
        <f t="shared" si="162"/>
        <v>0</v>
      </c>
      <c r="BE379" s="139" t="s">
        <v>59</v>
      </c>
      <c r="BF379" s="130"/>
    </row>
    <row r="380" spans="1:58" s="197" customFormat="1" ht="24" customHeight="1">
      <c r="B380" s="197" t="s">
        <v>959</v>
      </c>
      <c r="C380" s="134" t="s">
        <v>960</v>
      </c>
      <c r="D380" s="240">
        <v>10089755</v>
      </c>
      <c r="E380" s="134"/>
      <c r="F380" s="131" t="s">
        <v>918</v>
      </c>
      <c r="G380" s="131" t="s">
        <v>961</v>
      </c>
      <c r="H380" s="133">
        <v>44095</v>
      </c>
      <c r="I380" s="132" t="s">
        <v>962</v>
      </c>
      <c r="J380" s="133">
        <v>44467</v>
      </c>
      <c r="K380" s="132"/>
      <c r="L380" s="132"/>
      <c r="M380" s="132" t="s">
        <v>484</v>
      </c>
      <c r="N380" s="132" t="s">
        <v>484</v>
      </c>
      <c r="O380" s="132" t="s">
        <v>48</v>
      </c>
      <c r="P380" s="132" t="s">
        <v>48</v>
      </c>
      <c r="Q380" s="134" t="s">
        <v>93</v>
      </c>
      <c r="R380" s="134" t="s">
        <v>963</v>
      </c>
      <c r="S380" s="332">
        <f t="shared" si="167"/>
        <v>9</v>
      </c>
      <c r="T380" s="363">
        <v>9</v>
      </c>
      <c r="U380" s="363">
        <v>5</v>
      </c>
      <c r="V380" s="363">
        <v>4</v>
      </c>
      <c r="W380" s="134"/>
      <c r="X380" s="134"/>
      <c r="Y380" s="134"/>
      <c r="Z380" s="134" t="s">
        <v>52</v>
      </c>
      <c r="AA380" s="134" t="s">
        <v>53</v>
      </c>
      <c r="AB380" s="134" t="s">
        <v>52</v>
      </c>
      <c r="AC380" s="134" t="s">
        <v>766</v>
      </c>
      <c r="AD380" s="134" t="s">
        <v>53</v>
      </c>
      <c r="AE380" s="134" t="s">
        <v>54</v>
      </c>
      <c r="AF380" s="134" t="s">
        <v>54</v>
      </c>
      <c r="AG380" s="134" t="s">
        <v>85</v>
      </c>
      <c r="AH380" s="134" t="s">
        <v>86</v>
      </c>
      <c r="AI380" s="134" t="s">
        <v>86</v>
      </c>
      <c r="AJ380" s="134" t="s">
        <v>86</v>
      </c>
      <c r="AK380" s="134"/>
      <c r="AL380" s="134" t="s">
        <v>964</v>
      </c>
      <c r="AM380" s="134"/>
      <c r="AN380" s="134" t="s">
        <v>965</v>
      </c>
      <c r="AO380" s="134"/>
      <c r="AP380" s="134"/>
      <c r="AQ380" s="134"/>
      <c r="AR380" s="135">
        <f>COUNTIF(B:B,B380)</f>
        <v>1</v>
      </c>
      <c r="AS380" s="135" t="str">
        <f t="shared" si="153"/>
        <v>2020_09_21_a</v>
      </c>
      <c r="AT380" s="136"/>
      <c r="AU380" s="135" t="str">
        <f t="shared" si="154"/>
        <v>2020</v>
      </c>
      <c r="AV380" s="135" t="str">
        <f t="shared" si="155"/>
        <v>09</v>
      </c>
      <c r="AW380" s="135" t="str">
        <f t="shared" si="156"/>
        <v>21</v>
      </c>
      <c r="AX380" s="135">
        <f t="shared" si="157"/>
        <v>44095</v>
      </c>
      <c r="AY380" s="137"/>
      <c r="AZ380" s="138">
        <f t="shared" si="158"/>
        <v>44095</v>
      </c>
      <c r="BA380" s="135" t="b">
        <f t="shared" si="159"/>
        <v>1</v>
      </c>
      <c r="BB380" s="135">
        <f t="shared" si="160"/>
        <v>44095</v>
      </c>
      <c r="BC380" s="135" t="str">
        <f t="shared" si="161"/>
        <v>no</v>
      </c>
      <c r="BD380" s="135" t="b">
        <f t="shared" si="162"/>
        <v>0</v>
      </c>
      <c r="BE380" s="139" t="s">
        <v>59</v>
      </c>
      <c r="BF380" s="130"/>
    </row>
    <row r="381" spans="1:58" s="197" customFormat="1" ht="24" customHeight="1">
      <c r="B381" s="197" t="s">
        <v>966</v>
      </c>
      <c r="C381" s="134" t="s">
        <v>960</v>
      </c>
      <c r="D381" s="240">
        <v>10091246</v>
      </c>
      <c r="E381" s="134"/>
      <c r="F381" s="131" t="s">
        <v>918</v>
      </c>
      <c r="G381" s="131" t="s">
        <v>967</v>
      </c>
      <c r="H381" s="133">
        <v>44144</v>
      </c>
      <c r="I381" s="132">
        <v>44155</v>
      </c>
      <c r="J381" s="133">
        <v>44523</v>
      </c>
      <c r="K381" s="132"/>
      <c r="L381" s="132"/>
      <c r="M381" s="132" t="s">
        <v>48</v>
      </c>
      <c r="N381" s="132" t="s">
        <v>48</v>
      </c>
      <c r="O381" s="132" t="s">
        <v>48</v>
      </c>
      <c r="P381" s="132" t="s">
        <v>48</v>
      </c>
      <c r="Q381" s="134" t="s">
        <v>106</v>
      </c>
      <c r="R381" s="134" t="s">
        <v>968</v>
      </c>
      <c r="S381" s="332">
        <f t="shared" si="167"/>
        <v>34</v>
      </c>
      <c r="T381" s="363">
        <v>34</v>
      </c>
      <c r="U381" s="363">
        <v>0</v>
      </c>
      <c r="V381" s="363">
        <v>34</v>
      </c>
      <c r="W381" s="134"/>
      <c r="X381" s="134"/>
      <c r="Y381" s="134"/>
      <c r="Z381" s="134" t="s">
        <v>52</v>
      </c>
      <c r="AA381" s="134" t="s">
        <v>53</v>
      </c>
      <c r="AB381" s="134" t="s">
        <v>52</v>
      </c>
      <c r="AC381" s="134" t="s">
        <v>48</v>
      </c>
      <c r="AD381" s="134" t="s">
        <v>54</v>
      </c>
      <c r="AE381" s="134" t="s">
        <v>54</v>
      </c>
      <c r="AF381" s="134" t="s">
        <v>54</v>
      </c>
      <c r="AG381" s="134" t="s">
        <v>85</v>
      </c>
      <c r="AH381" s="134" t="s">
        <v>86</v>
      </c>
      <c r="AI381" s="134" t="s">
        <v>48</v>
      </c>
      <c r="AJ381" s="134" t="s">
        <v>86</v>
      </c>
      <c r="AK381" s="134"/>
      <c r="AL381" s="134" t="s">
        <v>57</v>
      </c>
      <c r="AM381" s="134"/>
      <c r="AN381" s="134"/>
      <c r="AO381" s="134"/>
      <c r="AP381" s="134"/>
      <c r="AQ381" s="134"/>
      <c r="AR381" s="135">
        <f>COUNTIF(B:B,B381)</f>
        <v>1</v>
      </c>
      <c r="AS381" s="135" t="str">
        <f t="shared" si="153"/>
        <v>2020_11_09_a</v>
      </c>
      <c r="AT381" s="136"/>
      <c r="AU381" s="135" t="str">
        <f t="shared" si="154"/>
        <v>2020</v>
      </c>
      <c r="AV381" s="135" t="str">
        <f t="shared" si="155"/>
        <v>11</v>
      </c>
      <c r="AW381" s="135" t="str">
        <f t="shared" si="156"/>
        <v>09</v>
      </c>
      <c r="AX381" s="135">
        <f t="shared" si="157"/>
        <v>44144</v>
      </c>
      <c r="AY381" s="137"/>
      <c r="AZ381" s="138">
        <f t="shared" si="158"/>
        <v>44144</v>
      </c>
      <c r="BA381" s="135" t="b">
        <f t="shared" si="159"/>
        <v>1</v>
      </c>
      <c r="BB381" s="135">
        <f t="shared" si="160"/>
        <v>44144</v>
      </c>
      <c r="BC381" s="135" t="str">
        <f t="shared" si="161"/>
        <v>no</v>
      </c>
      <c r="BD381" s="135" t="b">
        <f t="shared" si="162"/>
        <v>0</v>
      </c>
      <c r="BE381" s="139" t="s">
        <v>59</v>
      </c>
      <c r="BF381" s="130"/>
    </row>
    <row r="382" spans="1:58" s="148" customFormat="1" ht="24" customHeight="1">
      <c r="B382" s="200" t="s">
        <v>969</v>
      </c>
      <c r="D382" s="227">
        <v>10097032</v>
      </c>
      <c r="F382" s="201" t="s">
        <v>918</v>
      </c>
      <c r="G382" s="202">
        <v>44221</v>
      </c>
      <c r="H382" s="203">
        <v>44221</v>
      </c>
      <c r="I382" s="202"/>
      <c r="J382" s="203">
        <v>44235</v>
      </c>
      <c r="K382" s="202">
        <v>44221</v>
      </c>
      <c r="L382" s="150"/>
      <c r="M382" s="150"/>
      <c r="N382" s="150"/>
      <c r="O382" s="150"/>
      <c r="P382" s="150"/>
      <c r="S382" s="332">
        <f t="shared" si="167"/>
        <v>42</v>
      </c>
      <c r="T382" s="362">
        <v>42</v>
      </c>
      <c r="U382" s="362">
        <v>12</v>
      </c>
      <c r="V382" s="362">
        <v>30</v>
      </c>
      <c r="Z382" s="148" t="s">
        <v>53</v>
      </c>
      <c r="AG382" s="134" t="s">
        <v>85</v>
      </c>
      <c r="AH382" s="134" t="s">
        <v>86</v>
      </c>
      <c r="AL382" s="148" t="s">
        <v>57</v>
      </c>
      <c r="AR382" s="135">
        <f>COUNTIF(B:B,B382)</f>
        <v>1</v>
      </c>
      <c r="AS382" s="135" t="str">
        <f t="shared" si="153"/>
        <v>2021_01_25_a</v>
      </c>
      <c r="AT382" s="136"/>
      <c r="AU382" s="135" t="str">
        <f t="shared" si="154"/>
        <v>2021</v>
      </c>
      <c r="AV382" s="135" t="str">
        <f t="shared" si="155"/>
        <v>01</v>
      </c>
      <c r="AW382" s="135" t="str">
        <f t="shared" si="156"/>
        <v>25</v>
      </c>
      <c r="AX382" s="135">
        <f t="shared" si="157"/>
        <v>44221</v>
      </c>
      <c r="AY382" s="137"/>
      <c r="AZ382" s="138">
        <f t="shared" si="158"/>
        <v>44221</v>
      </c>
      <c r="BA382" s="135" t="b">
        <f t="shared" si="159"/>
        <v>1</v>
      </c>
      <c r="BB382" s="135">
        <f t="shared" si="160"/>
        <v>44221</v>
      </c>
      <c r="BC382" s="135" t="str">
        <f t="shared" si="161"/>
        <v>no</v>
      </c>
      <c r="BD382" s="135" t="b">
        <f t="shared" si="162"/>
        <v>0</v>
      </c>
      <c r="BE382" s="139" t="s">
        <v>59</v>
      </c>
      <c r="BF382" s="130"/>
    </row>
    <row r="383" spans="1:58" s="148" customFormat="1" ht="24" customHeight="1">
      <c r="A383" s="204"/>
      <c r="B383" s="205" t="s">
        <v>970</v>
      </c>
      <c r="C383" s="206"/>
      <c r="D383" s="240" t="s">
        <v>971</v>
      </c>
      <c r="E383" s="207"/>
      <c r="F383" s="201" t="s">
        <v>918</v>
      </c>
      <c r="G383" s="208">
        <v>44222</v>
      </c>
      <c r="H383" s="208">
        <v>44222</v>
      </c>
      <c r="I383" s="208"/>
      <c r="J383" s="208">
        <v>44222</v>
      </c>
      <c r="K383" s="209"/>
      <c r="L383" s="209"/>
      <c r="M383" s="209"/>
      <c r="N383" s="209"/>
      <c r="O383" s="209"/>
      <c r="P383" s="209"/>
      <c r="Q383" s="134"/>
      <c r="R383" s="134"/>
      <c r="S383" s="332">
        <f t="shared" si="167"/>
        <v>4</v>
      </c>
      <c r="T383" s="363">
        <v>4</v>
      </c>
      <c r="U383" s="363">
        <v>0</v>
      </c>
      <c r="V383" s="363">
        <v>4</v>
      </c>
      <c r="W383" s="134"/>
      <c r="X383" s="147"/>
      <c r="Y383" s="147"/>
      <c r="Z383" s="134"/>
      <c r="AA383" s="134"/>
      <c r="AB383" s="134"/>
      <c r="AC383" s="134"/>
      <c r="AD383" s="210"/>
      <c r="AE383" s="130"/>
      <c r="AF383" s="130"/>
      <c r="AG383" s="332" t="s">
        <v>85</v>
      </c>
      <c r="AH383" s="134" t="s">
        <v>86</v>
      </c>
      <c r="AI383" s="134"/>
      <c r="AM383" s="148" t="s">
        <v>972</v>
      </c>
      <c r="AR383" s="135">
        <f>COUNTIF(B:B,B383)</f>
        <v>1</v>
      </c>
      <c r="AS383" s="135" t="str">
        <f t="shared" si="153"/>
        <v>2021_01_26_a</v>
      </c>
      <c r="AT383" s="136"/>
      <c r="AU383" s="135" t="str">
        <f t="shared" si="154"/>
        <v>2021</v>
      </c>
      <c r="AV383" s="135" t="str">
        <f t="shared" si="155"/>
        <v>01</v>
      </c>
      <c r="AW383" s="135" t="str">
        <f t="shared" si="156"/>
        <v>26</v>
      </c>
      <c r="AX383" s="135">
        <f t="shared" si="157"/>
        <v>44222</v>
      </c>
      <c r="AY383" s="137"/>
      <c r="AZ383" s="138">
        <f t="shared" si="158"/>
        <v>44222</v>
      </c>
      <c r="BA383" s="135" t="b">
        <f t="shared" si="159"/>
        <v>1</v>
      </c>
      <c r="BB383" s="135" t="str">
        <f t="shared" si="160"/>
        <v xml:space="preserve"> </v>
      </c>
      <c r="BC383" s="135" t="str">
        <f t="shared" si="161"/>
        <v>yes</v>
      </c>
      <c r="BD383" s="135" t="b">
        <f t="shared" si="162"/>
        <v>0</v>
      </c>
      <c r="BE383" s="139" t="s">
        <v>59</v>
      </c>
      <c r="BF383" s="130"/>
    </row>
    <row r="384" spans="1:58" s="148" customFormat="1" ht="24" customHeight="1">
      <c r="A384" s="204"/>
      <c r="B384" s="205" t="s">
        <v>973</v>
      </c>
      <c r="C384" s="206"/>
      <c r="D384" s="240" t="s">
        <v>971</v>
      </c>
      <c r="E384" s="207"/>
      <c r="F384" s="201" t="s">
        <v>918</v>
      </c>
      <c r="G384" s="208">
        <v>44228</v>
      </c>
      <c r="H384" s="208">
        <v>44228</v>
      </c>
      <c r="I384" s="208"/>
      <c r="J384" s="208">
        <v>44228</v>
      </c>
      <c r="K384" s="209"/>
      <c r="L384" s="209"/>
      <c r="M384" s="209"/>
      <c r="N384" s="209"/>
      <c r="O384" s="209"/>
      <c r="P384" s="209"/>
      <c r="Q384" s="134"/>
      <c r="R384" s="134"/>
      <c r="S384" s="332">
        <f t="shared" si="167"/>
        <v>4</v>
      </c>
      <c r="T384" s="363">
        <v>4</v>
      </c>
      <c r="U384" s="363">
        <v>0</v>
      </c>
      <c r="V384" s="363">
        <v>4</v>
      </c>
      <c r="W384" s="134"/>
      <c r="X384" s="147"/>
      <c r="Y384" s="147"/>
      <c r="Z384" s="134"/>
      <c r="AA384" s="134"/>
      <c r="AB384" s="134"/>
      <c r="AC384" s="134"/>
      <c r="AD384" s="210"/>
      <c r="AE384" s="130"/>
      <c r="AF384" s="130"/>
      <c r="AG384" s="332" t="s">
        <v>85</v>
      </c>
      <c r="AH384" s="134" t="s">
        <v>86</v>
      </c>
      <c r="AI384" s="134"/>
      <c r="AM384" s="148" t="s">
        <v>972</v>
      </c>
      <c r="AR384" s="135">
        <f>COUNTIF(B:B,B384)</f>
        <v>1</v>
      </c>
      <c r="AS384" s="135" t="str">
        <f t="shared" si="153"/>
        <v>2021_02_01_a</v>
      </c>
      <c r="AT384" s="136"/>
      <c r="AU384" s="135" t="str">
        <f t="shared" si="154"/>
        <v>2021</v>
      </c>
      <c r="AV384" s="135" t="str">
        <f t="shared" si="155"/>
        <v>02</v>
      </c>
      <c r="AW384" s="135" t="str">
        <f t="shared" si="156"/>
        <v>01</v>
      </c>
      <c r="AX384" s="135">
        <f t="shared" si="157"/>
        <v>44228</v>
      </c>
      <c r="AY384" s="137"/>
      <c r="AZ384" s="138">
        <f t="shared" si="158"/>
        <v>44228</v>
      </c>
      <c r="BA384" s="135" t="b">
        <f t="shared" si="159"/>
        <v>1</v>
      </c>
      <c r="BB384" s="135" t="str">
        <f t="shared" si="160"/>
        <v xml:space="preserve"> </v>
      </c>
      <c r="BC384" s="135" t="str">
        <f t="shared" si="161"/>
        <v>yes</v>
      </c>
      <c r="BD384" s="135" t="b">
        <f t="shared" si="162"/>
        <v>0</v>
      </c>
      <c r="BE384" s="139" t="s">
        <v>59</v>
      </c>
      <c r="BF384" s="130"/>
    </row>
    <row r="385" spans="1:58" s="148" customFormat="1" ht="24" customHeight="1">
      <c r="A385" s="204"/>
      <c r="B385" s="205" t="s">
        <v>974</v>
      </c>
      <c r="C385" s="206"/>
      <c r="D385" s="240" t="s">
        <v>971</v>
      </c>
      <c r="E385" s="207"/>
      <c r="F385" s="201" t="s">
        <v>918</v>
      </c>
      <c r="G385" s="208">
        <v>44242</v>
      </c>
      <c r="H385" s="208">
        <v>44242</v>
      </c>
      <c r="I385" s="208"/>
      <c r="J385" s="208">
        <v>44242</v>
      </c>
      <c r="K385" s="209"/>
      <c r="L385" s="209"/>
      <c r="M385" s="209"/>
      <c r="N385" s="209"/>
      <c r="O385" s="209"/>
      <c r="P385" s="209"/>
      <c r="Q385" s="134"/>
      <c r="R385" s="134"/>
      <c r="S385" s="332">
        <f t="shared" si="167"/>
        <v>8</v>
      </c>
      <c r="T385" s="363">
        <v>8</v>
      </c>
      <c r="U385" s="363">
        <v>0</v>
      </c>
      <c r="V385" s="363">
        <v>8</v>
      </c>
      <c r="W385" s="134"/>
      <c r="X385" s="147"/>
      <c r="Y385" s="147"/>
      <c r="Z385" s="134"/>
      <c r="AA385" s="134"/>
      <c r="AB385" s="134"/>
      <c r="AC385" s="134"/>
      <c r="AD385" s="210"/>
      <c r="AE385" s="130"/>
      <c r="AF385" s="130"/>
      <c r="AG385" s="332" t="s">
        <v>85</v>
      </c>
      <c r="AH385" s="134" t="s">
        <v>86</v>
      </c>
      <c r="AI385" s="134"/>
      <c r="AM385" s="148" t="s">
        <v>972</v>
      </c>
      <c r="AR385" s="135">
        <f>COUNTIF(B:B,B385)</f>
        <v>1</v>
      </c>
      <c r="AS385" s="135" t="str">
        <f t="shared" si="153"/>
        <v>2021_02_15_a</v>
      </c>
      <c r="AT385" s="136"/>
      <c r="AU385" s="135" t="str">
        <f t="shared" si="154"/>
        <v>2021</v>
      </c>
      <c r="AV385" s="135" t="str">
        <f t="shared" si="155"/>
        <v>02</v>
      </c>
      <c r="AW385" s="135" t="str">
        <f t="shared" si="156"/>
        <v>15</v>
      </c>
      <c r="AX385" s="135">
        <f t="shared" si="157"/>
        <v>44242</v>
      </c>
      <c r="AY385" s="137"/>
      <c r="AZ385" s="138">
        <f t="shared" si="158"/>
        <v>44242</v>
      </c>
      <c r="BA385" s="135" t="b">
        <f t="shared" si="159"/>
        <v>1</v>
      </c>
      <c r="BB385" s="135" t="str">
        <f t="shared" si="160"/>
        <v xml:space="preserve"> </v>
      </c>
      <c r="BC385" s="135" t="str">
        <f t="shared" si="161"/>
        <v>yes</v>
      </c>
      <c r="BD385" s="135" t="b">
        <f t="shared" si="162"/>
        <v>0</v>
      </c>
      <c r="BE385" s="139" t="s">
        <v>59</v>
      </c>
      <c r="BF385" s="130"/>
    </row>
    <row r="386" spans="1:58" s="148" customFormat="1" ht="24" customHeight="1">
      <c r="A386" s="204"/>
      <c r="B386" s="205" t="s">
        <v>975</v>
      </c>
      <c r="C386" s="206"/>
      <c r="D386" s="240" t="s">
        <v>971</v>
      </c>
      <c r="E386" s="207"/>
      <c r="F386" s="201" t="s">
        <v>918</v>
      </c>
      <c r="G386" s="208">
        <v>44250</v>
      </c>
      <c r="H386" s="208">
        <v>44250</v>
      </c>
      <c r="I386" s="208"/>
      <c r="J386" s="208">
        <v>44250</v>
      </c>
      <c r="K386" s="209"/>
      <c r="L386" s="209"/>
      <c r="M386" s="209"/>
      <c r="N386" s="209"/>
      <c r="O386" s="209"/>
      <c r="P386" s="209"/>
      <c r="Q386" s="134"/>
      <c r="R386" s="134"/>
      <c r="S386" s="332">
        <f t="shared" si="167"/>
        <v>11</v>
      </c>
      <c r="T386" s="363">
        <v>11</v>
      </c>
      <c r="U386" s="363">
        <v>0</v>
      </c>
      <c r="V386" s="363">
        <v>11</v>
      </c>
      <c r="W386" s="134"/>
      <c r="X386" s="147"/>
      <c r="Y386" s="147"/>
      <c r="Z386" s="134"/>
      <c r="AA386" s="134"/>
      <c r="AB386" s="134"/>
      <c r="AC386" s="134"/>
      <c r="AD386" s="210"/>
      <c r="AE386" s="130"/>
      <c r="AF386" s="130"/>
      <c r="AG386" s="332" t="s">
        <v>85</v>
      </c>
      <c r="AH386" s="134" t="s">
        <v>86</v>
      </c>
      <c r="AI386" s="134"/>
      <c r="AM386" s="148" t="s">
        <v>972</v>
      </c>
      <c r="AR386" s="135">
        <f>COUNTIF(B:B,B386)</f>
        <v>1</v>
      </c>
      <c r="AS386" s="135" t="str">
        <f t="shared" si="153"/>
        <v>2021_02_23_a</v>
      </c>
      <c r="AT386" s="136"/>
      <c r="AU386" s="135" t="str">
        <f t="shared" si="154"/>
        <v>2021</v>
      </c>
      <c r="AV386" s="135" t="str">
        <f t="shared" si="155"/>
        <v>02</v>
      </c>
      <c r="AW386" s="135" t="str">
        <f t="shared" si="156"/>
        <v>23</v>
      </c>
      <c r="AX386" s="135">
        <f t="shared" si="157"/>
        <v>44250</v>
      </c>
      <c r="AY386" s="137"/>
      <c r="AZ386" s="138">
        <f t="shared" si="158"/>
        <v>44250</v>
      </c>
      <c r="BA386" s="135" t="b">
        <f t="shared" si="159"/>
        <v>1</v>
      </c>
      <c r="BB386" s="135" t="str">
        <f t="shared" si="160"/>
        <v xml:space="preserve"> </v>
      </c>
      <c r="BC386" s="135" t="str">
        <f t="shared" si="161"/>
        <v>yes</v>
      </c>
      <c r="BD386" s="135" t="b">
        <f t="shared" si="162"/>
        <v>0</v>
      </c>
      <c r="BE386" s="139" t="s">
        <v>59</v>
      </c>
      <c r="BF386" s="130"/>
    </row>
    <row r="387" spans="1:58" s="148" customFormat="1" ht="24" customHeight="1">
      <c r="A387" s="204"/>
      <c r="B387" s="211" t="s">
        <v>976</v>
      </c>
      <c r="C387" s="206"/>
      <c r="D387" s="240">
        <v>10096979</v>
      </c>
      <c r="E387" s="207"/>
      <c r="F387" s="201" t="s">
        <v>918</v>
      </c>
      <c r="G387" s="202">
        <v>44256</v>
      </c>
      <c r="H387" s="203">
        <v>44256</v>
      </c>
      <c r="I387" s="150"/>
      <c r="J387" s="203">
        <v>44270</v>
      </c>
      <c r="K387" s="202">
        <v>44221</v>
      </c>
      <c r="L387" s="150"/>
      <c r="M387" s="150"/>
      <c r="N387" s="150"/>
      <c r="O387" s="150"/>
      <c r="P387" s="150"/>
      <c r="S387" s="332">
        <f t="shared" si="167"/>
        <v>56</v>
      </c>
      <c r="T387" s="363">
        <v>56</v>
      </c>
      <c r="U387" s="363">
        <v>0</v>
      </c>
      <c r="V387" s="363">
        <v>56</v>
      </c>
      <c r="Z387" s="148" t="s">
        <v>53</v>
      </c>
      <c r="AG387" s="134" t="s">
        <v>85</v>
      </c>
      <c r="AH387" s="134" t="s">
        <v>86</v>
      </c>
      <c r="AL387" s="148" t="s">
        <v>57</v>
      </c>
      <c r="AR387" s="135">
        <f>COUNTIF(B:B,B387)</f>
        <v>1</v>
      </c>
      <c r="AS387" s="135" t="str">
        <f t="shared" si="153"/>
        <v>2021_03_01_a</v>
      </c>
      <c r="AT387" s="136"/>
      <c r="AU387" s="135" t="str">
        <f t="shared" si="154"/>
        <v>2021</v>
      </c>
      <c r="AV387" s="135" t="str">
        <f t="shared" si="155"/>
        <v>03</v>
      </c>
      <c r="AW387" s="135" t="str">
        <f t="shared" si="156"/>
        <v>01</v>
      </c>
      <c r="AX387" s="135">
        <f t="shared" si="157"/>
        <v>44256</v>
      </c>
      <c r="AY387" s="137"/>
      <c r="AZ387" s="138">
        <f t="shared" si="158"/>
        <v>44256</v>
      </c>
      <c r="BA387" s="135" t="b">
        <f t="shared" si="159"/>
        <v>1</v>
      </c>
      <c r="BB387" s="135">
        <f t="shared" si="160"/>
        <v>44256</v>
      </c>
      <c r="BC387" s="135" t="str">
        <f t="shared" si="161"/>
        <v>no</v>
      </c>
      <c r="BD387" s="135" t="b">
        <f t="shared" si="162"/>
        <v>0</v>
      </c>
      <c r="BE387" s="139" t="s">
        <v>59</v>
      </c>
      <c r="BF387" s="130"/>
    </row>
    <row r="388" spans="1:58" s="148" customFormat="1" ht="24" customHeight="1">
      <c r="A388" s="204"/>
      <c r="B388" s="205" t="s">
        <v>977</v>
      </c>
      <c r="C388" s="206"/>
      <c r="D388" s="240" t="s">
        <v>971</v>
      </c>
      <c r="E388" s="207"/>
      <c r="F388" s="201" t="s">
        <v>918</v>
      </c>
      <c r="G388" s="208">
        <v>44256</v>
      </c>
      <c r="H388" s="208">
        <v>44256</v>
      </c>
      <c r="I388" s="208"/>
      <c r="J388" s="208">
        <v>44256</v>
      </c>
      <c r="K388" s="209"/>
      <c r="L388" s="209"/>
      <c r="M388" s="209"/>
      <c r="N388" s="209"/>
      <c r="O388" s="209"/>
      <c r="P388" s="209"/>
      <c r="Q388" s="134"/>
      <c r="R388" s="134"/>
      <c r="S388" s="332">
        <f t="shared" si="167"/>
        <v>13</v>
      </c>
      <c r="T388" s="363">
        <v>13</v>
      </c>
      <c r="U388" s="363">
        <v>0</v>
      </c>
      <c r="V388" s="363">
        <v>13</v>
      </c>
      <c r="W388" s="134"/>
      <c r="X388" s="147"/>
      <c r="Y388" s="147"/>
      <c r="Z388" s="134"/>
      <c r="AA388" s="134"/>
      <c r="AB388" s="134"/>
      <c r="AC388" s="134"/>
      <c r="AD388" s="210"/>
      <c r="AE388" s="130"/>
      <c r="AF388" s="130"/>
      <c r="AG388" s="332" t="s">
        <v>85</v>
      </c>
      <c r="AH388" s="134" t="s">
        <v>86</v>
      </c>
      <c r="AI388" s="134"/>
      <c r="AM388" s="148" t="s">
        <v>972</v>
      </c>
      <c r="AR388" s="135">
        <f>COUNTIF(B:B,B388)</f>
        <v>1</v>
      </c>
      <c r="AS388" s="135" t="str">
        <f t="shared" si="153"/>
        <v>2021_03_01_b</v>
      </c>
      <c r="AT388" s="136"/>
      <c r="AU388" s="135" t="str">
        <f t="shared" si="154"/>
        <v>2021</v>
      </c>
      <c r="AV388" s="135" t="str">
        <f t="shared" si="155"/>
        <v>03</v>
      </c>
      <c r="AW388" s="135" t="str">
        <f t="shared" si="156"/>
        <v>01</v>
      </c>
      <c r="AX388" s="135">
        <f t="shared" si="157"/>
        <v>44256</v>
      </c>
      <c r="AY388" s="137"/>
      <c r="AZ388" s="138">
        <f t="shared" si="158"/>
        <v>44256</v>
      </c>
      <c r="BA388" s="135" t="b">
        <f t="shared" si="159"/>
        <v>1</v>
      </c>
      <c r="BB388" s="135" t="str">
        <f t="shared" si="160"/>
        <v xml:space="preserve"> </v>
      </c>
      <c r="BC388" s="135" t="str">
        <f t="shared" si="161"/>
        <v>yes</v>
      </c>
      <c r="BD388" s="135" t="b">
        <f t="shared" si="162"/>
        <v>0</v>
      </c>
      <c r="BE388" s="139" t="s">
        <v>59</v>
      </c>
      <c r="BF388" s="130"/>
    </row>
    <row r="389" spans="1:58" s="148" customFormat="1" ht="24" customHeight="1">
      <c r="A389" s="204"/>
      <c r="B389" s="212" t="s">
        <v>978</v>
      </c>
      <c r="C389" s="206"/>
      <c r="D389" s="227" t="s">
        <v>971</v>
      </c>
      <c r="E389" s="207"/>
      <c r="F389" s="201" t="s">
        <v>918</v>
      </c>
      <c r="G389" s="208">
        <v>44272</v>
      </c>
      <c r="H389" s="208">
        <v>44272</v>
      </c>
      <c r="I389" s="208"/>
      <c r="J389" s="208">
        <v>44272</v>
      </c>
      <c r="K389" s="209"/>
      <c r="L389" s="209"/>
      <c r="M389" s="209"/>
      <c r="N389" s="209"/>
      <c r="O389" s="209"/>
      <c r="P389" s="209"/>
      <c r="Q389" s="134"/>
      <c r="R389" s="134"/>
      <c r="S389" s="332">
        <f t="shared" si="167"/>
        <v>6</v>
      </c>
      <c r="T389" s="362">
        <v>6</v>
      </c>
      <c r="U389" s="362">
        <v>0</v>
      </c>
      <c r="V389" s="362">
        <v>6</v>
      </c>
      <c r="W389" s="134"/>
      <c r="X389" s="147"/>
      <c r="Y389" s="147"/>
      <c r="Z389" s="134"/>
      <c r="AA389" s="134"/>
      <c r="AB389" s="134"/>
      <c r="AC389" s="134"/>
      <c r="AD389" s="210"/>
      <c r="AE389" s="130"/>
      <c r="AF389" s="130"/>
      <c r="AG389" s="332" t="s">
        <v>85</v>
      </c>
      <c r="AH389" s="134" t="s">
        <v>86</v>
      </c>
      <c r="AI389" s="134"/>
      <c r="AM389" s="148" t="s">
        <v>972</v>
      </c>
      <c r="AR389" s="135">
        <f>COUNTIF(B:B,B389)</f>
        <v>1</v>
      </c>
      <c r="AS389" s="135" t="str">
        <f t="shared" si="153"/>
        <v>2021_03_17_a</v>
      </c>
      <c r="AT389" s="136"/>
      <c r="AU389" s="135" t="str">
        <f t="shared" si="154"/>
        <v>2021</v>
      </c>
      <c r="AV389" s="135" t="str">
        <f t="shared" si="155"/>
        <v>03</v>
      </c>
      <c r="AW389" s="135" t="str">
        <f t="shared" si="156"/>
        <v>17</v>
      </c>
      <c r="AX389" s="135">
        <f t="shared" si="157"/>
        <v>44272</v>
      </c>
      <c r="AY389" s="137"/>
      <c r="AZ389" s="138">
        <f t="shared" si="158"/>
        <v>44272</v>
      </c>
      <c r="BA389" s="135" t="b">
        <f t="shared" si="159"/>
        <v>1</v>
      </c>
      <c r="BB389" s="135" t="str">
        <f t="shared" si="160"/>
        <v xml:space="preserve"> </v>
      </c>
      <c r="BC389" s="135" t="str">
        <f t="shared" si="161"/>
        <v>yes</v>
      </c>
      <c r="BD389" s="135" t="b">
        <f t="shared" si="162"/>
        <v>0</v>
      </c>
      <c r="BE389" s="139" t="s">
        <v>59</v>
      </c>
      <c r="BF389" s="130"/>
    </row>
    <row r="390" spans="1:58" s="148" customFormat="1" ht="24" customHeight="1">
      <c r="A390" s="204"/>
      <c r="B390" s="205" t="s">
        <v>979</v>
      </c>
      <c r="C390" s="206"/>
      <c r="D390" s="240" t="s">
        <v>971</v>
      </c>
      <c r="E390" s="207"/>
      <c r="F390" s="201" t="s">
        <v>918</v>
      </c>
      <c r="G390" s="208">
        <v>44287</v>
      </c>
      <c r="H390" s="208">
        <v>44287</v>
      </c>
      <c r="I390" s="208"/>
      <c r="J390" s="208">
        <v>44287</v>
      </c>
      <c r="K390" s="209"/>
      <c r="L390" s="209"/>
      <c r="M390" s="209"/>
      <c r="N390" s="209"/>
      <c r="O390" s="209"/>
      <c r="P390" s="209"/>
      <c r="Q390" s="134"/>
      <c r="R390" s="134"/>
      <c r="S390" s="332">
        <f t="shared" si="167"/>
        <v>3</v>
      </c>
      <c r="T390" s="363">
        <v>3</v>
      </c>
      <c r="U390" s="363">
        <v>0</v>
      </c>
      <c r="V390" s="363">
        <v>3</v>
      </c>
      <c r="W390" s="134"/>
      <c r="X390" s="147"/>
      <c r="Y390" s="147"/>
      <c r="Z390" s="134"/>
      <c r="AA390" s="134"/>
      <c r="AB390" s="134"/>
      <c r="AC390" s="134"/>
      <c r="AD390" s="210"/>
      <c r="AE390" s="130"/>
      <c r="AF390" s="130"/>
      <c r="AG390" s="332" t="s">
        <v>85</v>
      </c>
      <c r="AH390" s="134" t="s">
        <v>86</v>
      </c>
      <c r="AI390" s="134"/>
      <c r="AM390" s="148" t="s">
        <v>972</v>
      </c>
      <c r="AR390" s="135">
        <f>COUNTIF(B:B,B390)</f>
        <v>1</v>
      </c>
      <c r="AS390" s="135" t="str">
        <f t="shared" si="153"/>
        <v>2021_04_01_a</v>
      </c>
      <c r="AT390" s="136"/>
      <c r="AU390" s="135" t="str">
        <f t="shared" si="154"/>
        <v>2021</v>
      </c>
      <c r="AV390" s="135" t="str">
        <f t="shared" si="155"/>
        <v>04</v>
      </c>
      <c r="AW390" s="135" t="str">
        <f t="shared" si="156"/>
        <v>01</v>
      </c>
      <c r="AX390" s="135">
        <f t="shared" si="157"/>
        <v>44287</v>
      </c>
      <c r="AY390" s="137"/>
      <c r="AZ390" s="138">
        <f t="shared" si="158"/>
        <v>44287</v>
      </c>
      <c r="BA390" s="135" t="b">
        <f t="shared" si="159"/>
        <v>1</v>
      </c>
      <c r="BB390" s="135" t="str">
        <f t="shared" si="160"/>
        <v xml:space="preserve"> </v>
      </c>
      <c r="BC390" s="135" t="str">
        <f t="shared" si="161"/>
        <v>yes</v>
      </c>
      <c r="BD390" s="135" t="b">
        <f t="shared" si="162"/>
        <v>0</v>
      </c>
      <c r="BE390" s="139" t="s">
        <v>59</v>
      </c>
      <c r="BF390" s="130"/>
    </row>
    <row r="391" spans="1:58" s="148" customFormat="1" ht="24" customHeight="1">
      <c r="A391" s="204"/>
      <c r="B391" s="211" t="s">
        <v>980</v>
      </c>
      <c r="C391" s="206"/>
      <c r="D391" s="240">
        <v>10099431</v>
      </c>
      <c r="E391" s="207"/>
      <c r="F391" s="201" t="s">
        <v>918</v>
      </c>
      <c r="G391" s="202">
        <v>44298</v>
      </c>
      <c r="H391" s="203">
        <v>44298</v>
      </c>
      <c r="I391" s="150"/>
      <c r="J391" s="203">
        <v>44312</v>
      </c>
      <c r="K391" s="202"/>
      <c r="L391" s="150"/>
      <c r="M391" s="150"/>
      <c r="N391" s="150"/>
      <c r="O391" s="150"/>
      <c r="P391" s="150"/>
      <c r="S391" s="332">
        <f t="shared" si="167"/>
        <v>40</v>
      </c>
      <c r="T391" s="363">
        <v>40</v>
      </c>
      <c r="U391" s="363">
        <v>3</v>
      </c>
      <c r="V391" s="363">
        <v>37</v>
      </c>
      <c r="Z391" s="148" t="s">
        <v>53</v>
      </c>
      <c r="AG391" s="134" t="s">
        <v>85</v>
      </c>
      <c r="AH391" s="134" t="s">
        <v>86</v>
      </c>
      <c r="AL391" s="148" t="s">
        <v>57</v>
      </c>
      <c r="AR391" s="135">
        <f>COUNTIF(B:B,B391)</f>
        <v>1</v>
      </c>
      <c r="AS391" s="135" t="str">
        <f t="shared" si="153"/>
        <v>2021_04_12_a</v>
      </c>
      <c r="AT391" s="136"/>
      <c r="AU391" s="135" t="str">
        <f t="shared" si="154"/>
        <v>2021</v>
      </c>
      <c r="AV391" s="135" t="str">
        <f t="shared" si="155"/>
        <v>04</v>
      </c>
      <c r="AW391" s="135" t="str">
        <f t="shared" si="156"/>
        <v>12</v>
      </c>
      <c r="AX391" s="135">
        <f t="shared" si="157"/>
        <v>44298</v>
      </c>
      <c r="AY391" s="137"/>
      <c r="AZ391" s="138">
        <f t="shared" si="158"/>
        <v>44298</v>
      </c>
      <c r="BA391" s="135" t="b">
        <f t="shared" si="159"/>
        <v>1</v>
      </c>
      <c r="BB391" s="135">
        <f t="shared" si="160"/>
        <v>44298</v>
      </c>
      <c r="BC391" s="135" t="str">
        <f t="shared" si="161"/>
        <v>no</v>
      </c>
      <c r="BD391" s="135" t="b">
        <f t="shared" si="162"/>
        <v>0</v>
      </c>
      <c r="BE391" s="139" t="s">
        <v>59</v>
      </c>
      <c r="BF391" s="130"/>
    </row>
    <row r="392" spans="1:58" s="148" customFormat="1" ht="24" customHeight="1">
      <c r="B392" s="213" t="s">
        <v>981</v>
      </c>
      <c r="D392" s="240" t="s">
        <v>971</v>
      </c>
      <c r="F392" s="201" t="s">
        <v>918</v>
      </c>
      <c r="G392" s="208">
        <v>44301</v>
      </c>
      <c r="H392" s="208">
        <v>44301</v>
      </c>
      <c r="I392" s="208"/>
      <c r="J392" s="208">
        <v>44301</v>
      </c>
      <c r="K392" s="209"/>
      <c r="L392" s="209"/>
      <c r="M392" s="209"/>
      <c r="N392" s="209"/>
      <c r="O392" s="209"/>
      <c r="P392" s="209"/>
      <c r="Q392" s="134"/>
      <c r="R392" s="134"/>
      <c r="S392" s="332">
        <f t="shared" si="167"/>
        <v>1</v>
      </c>
      <c r="T392" s="363">
        <v>1</v>
      </c>
      <c r="U392" s="363">
        <v>0</v>
      </c>
      <c r="V392" s="363">
        <v>1</v>
      </c>
      <c r="W392" s="134"/>
      <c r="X392" s="147"/>
      <c r="Y392" s="147"/>
      <c r="Z392" s="134"/>
      <c r="AA392" s="134"/>
      <c r="AB392" s="134"/>
      <c r="AC392" s="134"/>
      <c r="AD392" s="210"/>
      <c r="AE392" s="130"/>
      <c r="AF392" s="130"/>
      <c r="AG392" s="332" t="s">
        <v>85</v>
      </c>
      <c r="AH392" s="134" t="s">
        <v>86</v>
      </c>
      <c r="AI392" s="134"/>
      <c r="AM392" s="148" t="s">
        <v>972</v>
      </c>
      <c r="AR392" s="135">
        <f>COUNTIF(B:B,B392)</f>
        <v>1</v>
      </c>
      <c r="AS392" s="135" t="str">
        <f t="shared" si="153"/>
        <v>2021_04_15_a</v>
      </c>
      <c r="AT392" s="136"/>
      <c r="AU392" s="135" t="str">
        <f t="shared" si="154"/>
        <v>2021</v>
      </c>
      <c r="AV392" s="135" t="str">
        <f t="shared" si="155"/>
        <v>04</v>
      </c>
      <c r="AW392" s="135" t="str">
        <f t="shared" si="156"/>
        <v>15</v>
      </c>
      <c r="AX392" s="135">
        <f t="shared" si="157"/>
        <v>44301</v>
      </c>
      <c r="AY392" s="137"/>
      <c r="AZ392" s="138">
        <f t="shared" si="158"/>
        <v>44301</v>
      </c>
      <c r="BA392" s="135" t="b">
        <f t="shared" si="159"/>
        <v>1</v>
      </c>
      <c r="BB392" s="135" t="str">
        <f t="shared" si="160"/>
        <v xml:space="preserve"> </v>
      </c>
      <c r="BC392" s="135" t="str">
        <f t="shared" si="161"/>
        <v>yes</v>
      </c>
      <c r="BD392" s="135" t="b">
        <f t="shared" si="162"/>
        <v>0</v>
      </c>
      <c r="BE392" s="139" t="s">
        <v>59</v>
      </c>
      <c r="BF392" s="130"/>
    </row>
    <row r="393" spans="1:58" s="148" customFormat="1" ht="24" customHeight="1">
      <c r="B393" s="148" t="s">
        <v>982</v>
      </c>
      <c r="D393" s="240">
        <v>10099412</v>
      </c>
      <c r="F393" s="201" t="s">
        <v>918</v>
      </c>
      <c r="G393" s="202">
        <v>44326</v>
      </c>
      <c r="H393" s="203">
        <v>44326</v>
      </c>
      <c r="I393" s="150"/>
      <c r="J393" s="203">
        <v>44340</v>
      </c>
      <c r="K393" s="202"/>
      <c r="L393" s="150"/>
      <c r="M393" s="150"/>
      <c r="N393" s="150"/>
      <c r="O393" s="150"/>
      <c r="P393" s="150"/>
      <c r="S393" s="332">
        <f t="shared" si="167"/>
        <v>57</v>
      </c>
      <c r="T393" s="363">
        <v>57</v>
      </c>
      <c r="U393" s="363">
        <v>0</v>
      </c>
      <c r="V393" s="363">
        <v>57</v>
      </c>
      <c r="Z393" s="148" t="s">
        <v>53</v>
      </c>
      <c r="AG393" s="134" t="s">
        <v>85</v>
      </c>
      <c r="AH393" s="134" t="s">
        <v>86</v>
      </c>
      <c r="AL393" s="148" t="s">
        <v>57</v>
      </c>
      <c r="AR393" s="135">
        <f>COUNTIF(B:B,B393)</f>
        <v>1</v>
      </c>
      <c r="AS393" s="135" t="str">
        <f t="shared" si="153"/>
        <v>2021_05_10_a</v>
      </c>
      <c r="AT393" s="136"/>
      <c r="AU393" s="135" t="str">
        <f t="shared" si="154"/>
        <v>2021</v>
      </c>
      <c r="AV393" s="135" t="str">
        <f t="shared" si="155"/>
        <v>05</v>
      </c>
      <c r="AW393" s="135" t="str">
        <f t="shared" si="156"/>
        <v>10</v>
      </c>
      <c r="AX393" s="135">
        <f t="shared" si="157"/>
        <v>44326</v>
      </c>
      <c r="AY393" s="137"/>
      <c r="AZ393" s="138">
        <f t="shared" si="158"/>
        <v>44326</v>
      </c>
      <c r="BA393" s="135" t="b">
        <f t="shared" si="159"/>
        <v>1</v>
      </c>
      <c r="BB393" s="135">
        <f t="shared" si="160"/>
        <v>44326</v>
      </c>
      <c r="BC393" s="135" t="str">
        <f t="shared" si="161"/>
        <v>no</v>
      </c>
      <c r="BD393" s="135" t="b">
        <f t="shared" si="162"/>
        <v>0</v>
      </c>
      <c r="BE393" s="139" t="s">
        <v>59</v>
      </c>
      <c r="BF393" s="130"/>
    </row>
    <row r="394" spans="1:58" s="148" customFormat="1" ht="24" customHeight="1">
      <c r="B394" s="197" t="s">
        <v>983</v>
      </c>
      <c r="D394" s="240" t="s">
        <v>971</v>
      </c>
      <c r="F394" s="201" t="s">
        <v>918</v>
      </c>
      <c r="G394" s="208">
        <v>44345</v>
      </c>
      <c r="H394" s="208">
        <v>44345</v>
      </c>
      <c r="I394" s="208"/>
      <c r="J394" s="208">
        <v>44345</v>
      </c>
      <c r="K394" s="209"/>
      <c r="L394" s="209"/>
      <c r="M394" s="209"/>
      <c r="N394" s="209"/>
      <c r="O394" s="209"/>
      <c r="P394" s="209"/>
      <c r="Q394" s="134"/>
      <c r="R394" s="134"/>
      <c r="S394" s="332">
        <f t="shared" si="167"/>
        <v>1</v>
      </c>
      <c r="T394" s="363">
        <v>1</v>
      </c>
      <c r="U394" s="363">
        <v>0</v>
      </c>
      <c r="V394" s="363">
        <v>1</v>
      </c>
      <c r="W394" s="134"/>
      <c r="X394" s="147"/>
      <c r="Y394" s="147"/>
      <c r="Z394" s="134"/>
      <c r="AA394" s="134"/>
      <c r="AB394" s="134"/>
      <c r="AC394" s="134"/>
      <c r="AD394" s="210"/>
      <c r="AE394" s="130"/>
      <c r="AF394" s="130"/>
      <c r="AG394" s="332" t="s">
        <v>85</v>
      </c>
      <c r="AH394" s="134" t="s">
        <v>86</v>
      </c>
      <c r="AI394" s="134"/>
      <c r="AM394" s="148" t="s">
        <v>972</v>
      </c>
      <c r="AR394" s="135">
        <f>COUNTIF(B:B,B394)</f>
        <v>1</v>
      </c>
      <c r="AS394" s="135" t="str">
        <f t="shared" si="153"/>
        <v>2021_05_29_a</v>
      </c>
      <c r="AT394" s="136"/>
      <c r="AU394" s="135" t="str">
        <f t="shared" si="154"/>
        <v>2021</v>
      </c>
      <c r="AV394" s="135" t="str">
        <f t="shared" si="155"/>
        <v>05</v>
      </c>
      <c r="AW394" s="135" t="str">
        <f t="shared" si="156"/>
        <v>29</v>
      </c>
      <c r="AX394" s="135">
        <f t="shared" si="157"/>
        <v>44345</v>
      </c>
      <c r="AY394" s="137"/>
      <c r="AZ394" s="138">
        <f t="shared" si="158"/>
        <v>44345</v>
      </c>
      <c r="BA394" s="135" t="b">
        <f t="shared" si="159"/>
        <v>1</v>
      </c>
      <c r="BB394" s="135" t="str">
        <f t="shared" si="160"/>
        <v xml:space="preserve"> </v>
      </c>
      <c r="BC394" s="135" t="str">
        <f t="shared" si="161"/>
        <v>yes</v>
      </c>
      <c r="BD394" s="135" t="b">
        <f t="shared" si="162"/>
        <v>0</v>
      </c>
      <c r="BE394" s="139" t="s">
        <v>59</v>
      </c>
      <c r="BF394" s="130"/>
    </row>
    <row r="395" spans="1:58" s="148" customFormat="1" ht="24" customHeight="1">
      <c r="B395" s="148" t="s">
        <v>984</v>
      </c>
      <c r="D395" s="214">
        <v>10100995</v>
      </c>
      <c r="F395" s="201" t="s">
        <v>918</v>
      </c>
      <c r="G395" s="202">
        <v>44354</v>
      </c>
      <c r="H395" s="203">
        <v>44354</v>
      </c>
      <c r="I395" s="150"/>
      <c r="J395" s="203">
        <v>44368</v>
      </c>
      <c r="K395" s="150"/>
      <c r="L395" s="150"/>
      <c r="M395" s="150"/>
      <c r="N395" s="150"/>
      <c r="O395" s="150"/>
      <c r="P395" s="150"/>
      <c r="S395" s="332">
        <f t="shared" si="167"/>
        <v>52</v>
      </c>
      <c r="T395" s="362">
        <v>52</v>
      </c>
      <c r="U395" s="362">
        <v>0</v>
      </c>
      <c r="V395" s="362">
        <v>52</v>
      </c>
      <c r="Z395" s="148" t="s">
        <v>53</v>
      </c>
      <c r="AG395" s="134" t="s">
        <v>85</v>
      </c>
      <c r="AH395" s="134" t="s">
        <v>86</v>
      </c>
      <c r="AL395" s="148" t="s">
        <v>57</v>
      </c>
      <c r="AR395" s="135">
        <f>COUNTIF(B:B,B395)</f>
        <v>1</v>
      </c>
      <c r="AS395" s="135" t="str">
        <f t="shared" si="153"/>
        <v>2021_06_07_a</v>
      </c>
      <c r="AT395" s="136"/>
      <c r="AU395" s="135" t="str">
        <f t="shared" si="154"/>
        <v>2021</v>
      </c>
      <c r="AV395" s="135" t="str">
        <f t="shared" si="155"/>
        <v>06</v>
      </c>
      <c r="AW395" s="135" t="str">
        <f t="shared" si="156"/>
        <v>07</v>
      </c>
      <c r="AX395" s="135">
        <f t="shared" si="157"/>
        <v>44354</v>
      </c>
      <c r="AY395" s="137"/>
      <c r="AZ395" s="138">
        <f t="shared" si="158"/>
        <v>44354</v>
      </c>
      <c r="BA395" s="135" t="b">
        <f t="shared" si="159"/>
        <v>1</v>
      </c>
      <c r="BB395" s="135">
        <f t="shared" si="160"/>
        <v>44354</v>
      </c>
      <c r="BC395" s="135" t="str">
        <f t="shared" si="161"/>
        <v>no</v>
      </c>
      <c r="BD395" s="135" t="b">
        <f t="shared" si="162"/>
        <v>0</v>
      </c>
      <c r="BE395" s="139" t="s">
        <v>59</v>
      </c>
      <c r="BF395" s="130"/>
    </row>
    <row r="396" spans="1:58" s="148" customFormat="1" ht="24" customHeight="1">
      <c r="B396" s="148" t="s">
        <v>985</v>
      </c>
      <c r="D396" s="240" t="s">
        <v>986</v>
      </c>
      <c r="F396" s="201" t="s">
        <v>918</v>
      </c>
      <c r="G396" s="202">
        <v>44361</v>
      </c>
      <c r="H396" s="203">
        <v>44361</v>
      </c>
      <c r="I396" s="150"/>
      <c r="J396" s="203">
        <v>44375</v>
      </c>
      <c r="K396" s="150"/>
      <c r="L396" s="150"/>
      <c r="M396" s="150"/>
      <c r="N396" s="150"/>
      <c r="O396" s="150"/>
      <c r="P396" s="150"/>
      <c r="S396" s="332">
        <f t="shared" si="167"/>
        <v>146</v>
      </c>
      <c r="T396" s="363">
        <v>146</v>
      </c>
      <c r="U396" s="363">
        <v>0</v>
      </c>
      <c r="V396" s="363">
        <v>146</v>
      </c>
      <c r="Z396" s="148" t="s">
        <v>53</v>
      </c>
      <c r="AG396" s="134" t="s">
        <v>85</v>
      </c>
      <c r="AH396" s="134" t="s">
        <v>86</v>
      </c>
      <c r="AL396" s="148" t="s">
        <v>57</v>
      </c>
      <c r="AR396" s="135">
        <f>COUNTIF(B:B,B396)</f>
        <v>1</v>
      </c>
      <c r="AS396" s="135" t="str">
        <f t="shared" si="153"/>
        <v>2021_06_14_a</v>
      </c>
      <c r="AT396" s="136"/>
      <c r="AU396" s="135" t="str">
        <f t="shared" si="154"/>
        <v>2021</v>
      </c>
      <c r="AV396" s="135" t="str">
        <f t="shared" si="155"/>
        <v>06</v>
      </c>
      <c r="AW396" s="135" t="str">
        <f t="shared" si="156"/>
        <v>14</v>
      </c>
      <c r="AX396" s="135">
        <f t="shared" si="157"/>
        <v>44361</v>
      </c>
      <c r="AY396" s="137"/>
      <c r="AZ396" s="138">
        <f t="shared" si="158"/>
        <v>44361</v>
      </c>
      <c r="BA396" s="135" t="b">
        <f t="shared" si="159"/>
        <v>1</v>
      </c>
      <c r="BB396" s="135">
        <f t="shared" si="160"/>
        <v>44361</v>
      </c>
      <c r="BC396" s="135" t="str">
        <f t="shared" si="161"/>
        <v>no</v>
      </c>
      <c r="BD396" s="135" t="b">
        <f t="shared" si="162"/>
        <v>0</v>
      </c>
      <c r="BE396" s="139" t="s">
        <v>59</v>
      </c>
      <c r="BF396" s="130"/>
    </row>
    <row r="397" spans="1:58" s="148" customFormat="1" ht="24" customHeight="1">
      <c r="B397" s="148" t="s">
        <v>987</v>
      </c>
      <c r="D397" s="240">
        <v>10104526</v>
      </c>
      <c r="F397" s="201" t="s">
        <v>918</v>
      </c>
      <c r="G397" s="202">
        <v>44396</v>
      </c>
      <c r="H397" s="203">
        <v>44396</v>
      </c>
      <c r="I397" s="150"/>
      <c r="J397" s="203">
        <v>44410</v>
      </c>
      <c r="K397" s="150"/>
      <c r="L397" s="150"/>
      <c r="M397" s="150"/>
      <c r="N397" s="150"/>
      <c r="O397" s="150"/>
      <c r="P397" s="150"/>
      <c r="S397" s="332">
        <f t="shared" si="167"/>
        <v>17</v>
      </c>
      <c r="T397" s="363">
        <v>17</v>
      </c>
      <c r="U397" s="363">
        <v>8</v>
      </c>
      <c r="V397" s="363">
        <v>9</v>
      </c>
      <c r="Z397" s="148" t="s">
        <v>53</v>
      </c>
      <c r="AG397" s="134" t="s">
        <v>85</v>
      </c>
      <c r="AH397" s="134" t="s">
        <v>86</v>
      </c>
      <c r="AL397" s="148" t="s">
        <v>57</v>
      </c>
      <c r="AR397" s="135">
        <f>COUNTIF(B:B,B397)</f>
        <v>1</v>
      </c>
      <c r="AS397" s="135" t="str">
        <f t="shared" si="153"/>
        <v>2021_07_19_a</v>
      </c>
      <c r="AT397" s="136"/>
      <c r="AU397" s="135" t="str">
        <f t="shared" si="154"/>
        <v>2021</v>
      </c>
      <c r="AV397" s="135" t="str">
        <f t="shared" si="155"/>
        <v>07</v>
      </c>
      <c r="AW397" s="135" t="str">
        <f t="shared" si="156"/>
        <v>19</v>
      </c>
      <c r="AX397" s="135">
        <f t="shared" si="157"/>
        <v>44396</v>
      </c>
      <c r="AY397" s="137"/>
      <c r="AZ397" s="138">
        <f t="shared" si="158"/>
        <v>44396</v>
      </c>
      <c r="BA397" s="135" t="b">
        <f t="shared" si="159"/>
        <v>1</v>
      </c>
      <c r="BB397" s="135">
        <f t="shared" si="160"/>
        <v>44396</v>
      </c>
      <c r="BC397" s="135" t="str">
        <f t="shared" si="161"/>
        <v>no</v>
      </c>
      <c r="BD397" s="135" t="b">
        <f t="shared" si="162"/>
        <v>0</v>
      </c>
      <c r="BE397" s="139" t="s">
        <v>59</v>
      </c>
      <c r="BF397" s="130"/>
    </row>
    <row r="398" spans="1:58" s="148" customFormat="1" ht="24" customHeight="1">
      <c r="B398" s="148" t="s">
        <v>988</v>
      </c>
      <c r="D398" s="240">
        <v>10105275</v>
      </c>
      <c r="F398" s="201" t="s">
        <v>918</v>
      </c>
      <c r="G398" s="202">
        <v>44452</v>
      </c>
      <c r="H398" s="203">
        <v>44452</v>
      </c>
      <c r="I398" s="150"/>
      <c r="J398" s="203">
        <v>44466</v>
      </c>
      <c r="K398" s="150"/>
      <c r="L398" s="150"/>
      <c r="M398" s="150"/>
      <c r="N398" s="150"/>
      <c r="O398" s="150"/>
      <c r="P398" s="150"/>
      <c r="S398" s="332">
        <f t="shared" si="167"/>
        <v>49</v>
      </c>
      <c r="T398" s="363">
        <v>49</v>
      </c>
      <c r="U398" s="363">
        <v>12</v>
      </c>
      <c r="V398" s="363">
        <v>37</v>
      </c>
      <c r="Z398" s="148" t="s">
        <v>53</v>
      </c>
      <c r="AG398" s="134" t="s">
        <v>85</v>
      </c>
      <c r="AH398" s="134" t="s">
        <v>86</v>
      </c>
      <c r="AL398" s="148" t="s">
        <v>57</v>
      </c>
      <c r="AR398" s="135">
        <f>COUNTIF(B:B,B398)</f>
        <v>1</v>
      </c>
      <c r="AS398" s="135" t="str">
        <f t="shared" si="153"/>
        <v>2021_09_13_a</v>
      </c>
      <c r="AT398" s="136"/>
      <c r="AU398" s="135" t="str">
        <f t="shared" si="154"/>
        <v>2021</v>
      </c>
      <c r="AV398" s="135" t="str">
        <f t="shared" si="155"/>
        <v>09</v>
      </c>
      <c r="AW398" s="135" t="str">
        <f t="shared" si="156"/>
        <v>13</v>
      </c>
      <c r="AX398" s="135">
        <f t="shared" si="157"/>
        <v>44452</v>
      </c>
      <c r="AY398" s="137"/>
      <c r="AZ398" s="138">
        <f t="shared" si="158"/>
        <v>44452</v>
      </c>
      <c r="BA398" s="135" t="b">
        <f t="shared" si="159"/>
        <v>1</v>
      </c>
      <c r="BB398" s="135">
        <f t="shared" si="160"/>
        <v>44452</v>
      </c>
      <c r="BC398" s="135" t="str">
        <f t="shared" si="161"/>
        <v>no</v>
      </c>
      <c r="BD398" s="135" t="b">
        <f t="shared" si="162"/>
        <v>0</v>
      </c>
      <c r="BE398" s="139" t="s">
        <v>59</v>
      </c>
      <c r="BF398" s="130"/>
    </row>
    <row r="399" spans="1:58" s="148" customFormat="1" ht="24" customHeight="1">
      <c r="B399" s="148" t="s">
        <v>989</v>
      </c>
      <c r="D399" s="364" t="s">
        <v>990</v>
      </c>
      <c r="F399" s="201" t="s">
        <v>918</v>
      </c>
      <c r="G399" s="202">
        <v>44466</v>
      </c>
      <c r="H399" s="203">
        <v>44466</v>
      </c>
      <c r="I399" s="150"/>
      <c r="J399" s="203">
        <v>44480</v>
      </c>
      <c r="K399" s="150"/>
      <c r="L399" s="150"/>
      <c r="M399" s="150"/>
      <c r="N399" s="150"/>
      <c r="O399" s="150"/>
      <c r="P399" s="150"/>
      <c r="S399" s="332">
        <f t="shared" si="167"/>
        <v>4</v>
      </c>
      <c r="T399" s="363">
        <v>4</v>
      </c>
      <c r="U399" s="363">
        <v>0</v>
      </c>
      <c r="V399" s="363">
        <v>4</v>
      </c>
      <c r="Z399" s="148" t="s">
        <v>53</v>
      </c>
      <c r="AG399" s="134" t="s">
        <v>85</v>
      </c>
      <c r="AH399" s="134" t="s">
        <v>86</v>
      </c>
      <c r="AL399" s="148" t="s">
        <v>57</v>
      </c>
      <c r="AR399" s="135">
        <f>COUNTIF(B:B,B399)</f>
        <v>1</v>
      </c>
      <c r="AS399" s="135" t="str">
        <f t="shared" si="153"/>
        <v>2021_09_27_a</v>
      </c>
      <c r="AT399" s="136"/>
      <c r="AU399" s="135" t="str">
        <f t="shared" si="154"/>
        <v>2021</v>
      </c>
      <c r="AV399" s="135" t="str">
        <f t="shared" si="155"/>
        <v>09</v>
      </c>
      <c r="AW399" s="135" t="str">
        <f t="shared" si="156"/>
        <v>27</v>
      </c>
      <c r="AX399" s="135">
        <f t="shared" si="157"/>
        <v>44466</v>
      </c>
      <c r="AY399" s="137"/>
      <c r="AZ399" s="138">
        <f t="shared" si="158"/>
        <v>44466</v>
      </c>
      <c r="BA399" s="135" t="b">
        <f t="shared" si="159"/>
        <v>1</v>
      </c>
      <c r="BB399" s="135">
        <f t="shared" si="160"/>
        <v>44466</v>
      </c>
      <c r="BC399" s="135" t="str">
        <f t="shared" si="161"/>
        <v>no</v>
      </c>
      <c r="BD399" s="135" t="b">
        <f t="shared" si="162"/>
        <v>0</v>
      </c>
      <c r="BE399" s="139" t="s">
        <v>59</v>
      </c>
      <c r="BF399" s="130"/>
    </row>
    <row r="400" spans="1:58" s="148" customFormat="1" ht="24" customHeight="1">
      <c r="B400" s="200" t="s">
        <v>991</v>
      </c>
      <c r="D400" s="240">
        <v>10236108</v>
      </c>
      <c r="F400" s="201" t="s">
        <v>918</v>
      </c>
      <c r="G400" s="202">
        <v>44536</v>
      </c>
      <c r="H400" s="203">
        <v>44536</v>
      </c>
      <c r="I400" s="150"/>
      <c r="J400" s="203">
        <v>44550</v>
      </c>
      <c r="K400" s="150"/>
      <c r="L400" s="150"/>
      <c r="M400" s="150"/>
      <c r="N400" s="150"/>
      <c r="O400" s="150"/>
      <c r="P400" s="150"/>
      <c r="S400" s="332">
        <f t="shared" si="167"/>
        <v>23</v>
      </c>
      <c r="T400" s="363">
        <v>23</v>
      </c>
      <c r="U400" s="363">
        <v>0</v>
      </c>
      <c r="V400" s="363">
        <v>23</v>
      </c>
      <c r="Z400" s="148" t="s">
        <v>53</v>
      </c>
      <c r="AG400" s="134" t="s">
        <v>85</v>
      </c>
      <c r="AH400" s="134" t="s">
        <v>86</v>
      </c>
      <c r="AL400" s="148" t="s">
        <v>57</v>
      </c>
      <c r="AR400" s="135">
        <f>COUNTIF(B:B,B400)</f>
        <v>1</v>
      </c>
      <c r="AS400" s="135" t="str">
        <f t="shared" si="153"/>
        <v>2021_12_06_a</v>
      </c>
      <c r="AT400" s="136"/>
      <c r="AU400" s="135" t="str">
        <f t="shared" si="154"/>
        <v>2021</v>
      </c>
      <c r="AV400" s="135" t="str">
        <f t="shared" si="155"/>
        <v>12</v>
      </c>
      <c r="AW400" s="135" t="str">
        <f t="shared" si="156"/>
        <v>06</v>
      </c>
      <c r="AX400" s="135">
        <f t="shared" si="157"/>
        <v>44536</v>
      </c>
      <c r="AY400" s="137"/>
      <c r="AZ400" s="138">
        <f t="shared" si="158"/>
        <v>44536</v>
      </c>
      <c r="BA400" s="135" t="b">
        <f t="shared" si="159"/>
        <v>1</v>
      </c>
      <c r="BB400" s="135">
        <f t="shared" si="160"/>
        <v>44536</v>
      </c>
      <c r="BC400" s="135" t="str">
        <f t="shared" si="161"/>
        <v>no</v>
      </c>
      <c r="BD400" s="135" t="b">
        <f t="shared" si="162"/>
        <v>0</v>
      </c>
      <c r="BE400" s="139" t="s">
        <v>59</v>
      </c>
      <c r="BF400" s="130"/>
    </row>
    <row r="401" spans="1:59" s="148" customFormat="1" ht="24" customHeight="1">
      <c r="A401" s="204"/>
      <c r="B401" s="214" t="s">
        <v>992</v>
      </c>
      <c r="C401" s="206"/>
      <c r="D401" s="214" t="s">
        <v>990</v>
      </c>
      <c r="E401" s="207"/>
      <c r="F401" s="201" t="s">
        <v>918</v>
      </c>
      <c r="G401" s="202">
        <v>44585</v>
      </c>
      <c r="H401" s="202">
        <v>44585</v>
      </c>
      <c r="I401" s="150"/>
      <c r="J401" s="202">
        <v>44599</v>
      </c>
      <c r="K401" s="150"/>
      <c r="L401" s="150"/>
      <c r="M401" s="150"/>
      <c r="N401" s="150"/>
      <c r="O401" s="150"/>
      <c r="P401" s="150"/>
      <c r="S401" s="332">
        <f t="shared" si="167"/>
        <v>51</v>
      </c>
      <c r="T401" s="362">
        <v>51</v>
      </c>
      <c r="U401" s="362">
        <v>0</v>
      </c>
      <c r="V401" s="362">
        <v>51</v>
      </c>
      <c r="Z401" s="148" t="s">
        <v>53</v>
      </c>
      <c r="AG401" s="134" t="s">
        <v>85</v>
      </c>
      <c r="AH401" s="134" t="s">
        <v>86</v>
      </c>
      <c r="AL401" s="148" t="s">
        <v>57</v>
      </c>
      <c r="AR401" s="135">
        <f>COUNTIF(B:B,B401)</f>
        <v>1</v>
      </c>
      <c r="AS401" s="135" t="str">
        <f t="shared" ref="AS401:AS470" si="168">IFERROR(RIGHT(B401,16-SEARCH("_", B401)),0)</f>
        <v>2022_01_24_a</v>
      </c>
      <c r="AT401" s="136"/>
      <c r="AU401" s="135" t="str">
        <f t="shared" ref="AU401:AU470" si="169">LEFT(AS401,4)</f>
        <v>2022</v>
      </c>
      <c r="AV401" s="135" t="str">
        <f t="shared" ref="AV401:AV470" si="170">MID(AS401,6,2)</f>
        <v>01</v>
      </c>
      <c r="AW401" s="135" t="str">
        <f t="shared" ref="AW401:AW470" si="171">MID(AS401,9,2)</f>
        <v>24</v>
      </c>
      <c r="AX401" s="135">
        <f t="shared" ref="AX401:AX470" si="172">IFERROR(DATE(AU401,AV401,AW401)," ")</f>
        <v>44585</v>
      </c>
      <c r="AY401" s="137"/>
      <c r="AZ401" s="138">
        <f t="shared" ref="AZ401:AZ470" si="173">H401</f>
        <v>44585</v>
      </c>
      <c r="BA401" s="135" t="b">
        <f t="shared" ref="BA401:BA470" si="174">IF(AX401=" "," ",AX401=AZ401)</f>
        <v>1</v>
      </c>
      <c r="BB401" s="135">
        <f t="shared" ref="BB401:BB470" si="175">IF(BC401="YES"," ",AZ401)</f>
        <v>44585</v>
      </c>
      <c r="BC401" s="135" t="str">
        <f t="shared" ref="BC401:BC470" si="176">IF(AM401="Apprentice","yes","no")</f>
        <v>no</v>
      </c>
      <c r="BD401" s="135" t="b">
        <f t="shared" ref="BD401:BD470" si="177">IF(OR(U401&lt;&gt;"0", V401&lt;&gt;"0"),U401=V401," ")</f>
        <v>0</v>
      </c>
      <c r="BE401" s="139" t="s">
        <v>59</v>
      </c>
      <c r="BF401" s="130"/>
    </row>
    <row r="402" spans="1:59" s="148" customFormat="1" ht="24" customHeight="1">
      <c r="A402" s="204"/>
      <c r="B402" s="214" t="s">
        <v>993</v>
      </c>
      <c r="C402" s="206"/>
      <c r="D402" s="240">
        <v>10239708</v>
      </c>
      <c r="E402" s="207"/>
      <c r="F402" s="201" t="s">
        <v>918</v>
      </c>
      <c r="G402" s="202">
        <v>44606</v>
      </c>
      <c r="H402" s="202">
        <v>44606</v>
      </c>
      <c r="I402" s="150"/>
      <c r="J402" s="202">
        <v>44620</v>
      </c>
      <c r="K402" s="150"/>
      <c r="L402" s="150"/>
      <c r="M402" s="150"/>
      <c r="N402" s="150"/>
      <c r="O402" s="150"/>
      <c r="P402" s="150"/>
      <c r="S402" s="332">
        <f t="shared" si="167"/>
        <v>43</v>
      </c>
      <c r="T402" s="363">
        <v>43</v>
      </c>
      <c r="U402" s="363">
        <v>7</v>
      </c>
      <c r="V402" s="363">
        <v>36</v>
      </c>
      <c r="Z402" s="148" t="s">
        <v>53</v>
      </c>
      <c r="AG402" s="134" t="s">
        <v>85</v>
      </c>
      <c r="AH402" s="134" t="s">
        <v>86</v>
      </c>
      <c r="AL402" s="148" t="s">
        <v>57</v>
      </c>
      <c r="AR402" s="135">
        <f>COUNTIF(B:B,B402)</f>
        <v>1</v>
      </c>
      <c r="AS402" s="135" t="str">
        <f t="shared" si="168"/>
        <v>2022_02_14_a</v>
      </c>
      <c r="AT402" s="136"/>
      <c r="AU402" s="135" t="str">
        <f t="shared" si="169"/>
        <v>2022</v>
      </c>
      <c r="AV402" s="135" t="str">
        <f t="shared" si="170"/>
        <v>02</v>
      </c>
      <c r="AW402" s="135" t="str">
        <f t="shared" si="171"/>
        <v>14</v>
      </c>
      <c r="AX402" s="135">
        <f t="shared" si="172"/>
        <v>44606</v>
      </c>
      <c r="AY402" s="137"/>
      <c r="AZ402" s="138">
        <f t="shared" si="173"/>
        <v>44606</v>
      </c>
      <c r="BA402" s="135" t="b">
        <f t="shared" si="174"/>
        <v>1</v>
      </c>
      <c r="BB402" s="135">
        <f t="shared" si="175"/>
        <v>44606</v>
      </c>
      <c r="BC402" s="135" t="str">
        <f t="shared" si="176"/>
        <v>no</v>
      </c>
      <c r="BD402" s="135" t="b">
        <f t="shared" si="177"/>
        <v>0</v>
      </c>
      <c r="BE402" s="139" t="s">
        <v>59</v>
      </c>
      <c r="BF402" s="130"/>
    </row>
    <row r="403" spans="1:59" s="148" customFormat="1" ht="24" customHeight="1">
      <c r="A403" s="204"/>
      <c r="B403" s="205" t="s">
        <v>994</v>
      </c>
      <c r="C403" s="206"/>
      <c r="D403" s="240" t="s">
        <v>971</v>
      </c>
      <c r="E403" s="207"/>
      <c r="F403" s="201" t="s">
        <v>918</v>
      </c>
      <c r="G403" s="208">
        <v>44621</v>
      </c>
      <c r="H403" s="208">
        <v>44621</v>
      </c>
      <c r="I403" s="208"/>
      <c r="J403" s="208">
        <v>44621</v>
      </c>
      <c r="K403" s="209"/>
      <c r="L403" s="209"/>
      <c r="M403" s="209"/>
      <c r="N403" s="209"/>
      <c r="O403" s="209"/>
      <c r="P403" s="209"/>
      <c r="Q403" s="134"/>
      <c r="R403" s="134"/>
      <c r="S403" s="332">
        <f t="shared" si="167"/>
        <v>2</v>
      </c>
      <c r="T403" s="363">
        <v>2</v>
      </c>
      <c r="U403" s="363">
        <v>0</v>
      </c>
      <c r="V403" s="363">
        <v>2</v>
      </c>
      <c r="W403" s="134"/>
      <c r="X403" s="147"/>
      <c r="Y403" s="147"/>
      <c r="Z403" s="134"/>
      <c r="AA403" s="134"/>
      <c r="AB403" s="134"/>
      <c r="AC403" s="134"/>
      <c r="AD403" s="210"/>
      <c r="AE403" s="130"/>
      <c r="AF403" s="130"/>
      <c r="AG403" s="332" t="s">
        <v>85</v>
      </c>
      <c r="AH403" s="134" t="s">
        <v>86</v>
      </c>
      <c r="AI403" s="134"/>
      <c r="AM403" s="148" t="s">
        <v>972</v>
      </c>
      <c r="AR403" s="135">
        <f>COUNTIF(B:B,B403)</f>
        <v>1</v>
      </c>
      <c r="AS403" s="135" t="str">
        <f t="shared" si="168"/>
        <v>2022_03_01_a</v>
      </c>
      <c r="AT403" s="136"/>
      <c r="AU403" s="135" t="str">
        <f t="shared" si="169"/>
        <v>2022</v>
      </c>
      <c r="AV403" s="135" t="str">
        <f t="shared" si="170"/>
        <v>03</v>
      </c>
      <c r="AW403" s="135" t="str">
        <f t="shared" si="171"/>
        <v>01</v>
      </c>
      <c r="AX403" s="135">
        <f t="shared" si="172"/>
        <v>44621</v>
      </c>
      <c r="AY403" s="137"/>
      <c r="AZ403" s="138">
        <f t="shared" si="173"/>
        <v>44621</v>
      </c>
      <c r="BA403" s="135" t="b">
        <f t="shared" si="174"/>
        <v>1</v>
      </c>
      <c r="BB403" s="135" t="str">
        <f t="shared" si="175"/>
        <v xml:space="preserve"> </v>
      </c>
      <c r="BC403" s="135" t="str">
        <f t="shared" si="176"/>
        <v>yes</v>
      </c>
      <c r="BD403" s="135" t="b">
        <f t="shared" si="177"/>
        <v>0</v>
      </c>
      <c r="BE403" s="139" t="s">
        <v>59</v>
      </c>
      <c r="BF403" s="130"/>
    </row>
    <row r="404" spans="1:59" s="148" customFormat="1" ht="24" customHeight="1">
      <c r="A404" s="204"/>
      <c r="B404" s="214" t="s">
        <v>995</v>
      </c>
      <c r="C404" s="206"/>
      <c r="D404" s="240">
        <v>10239740</v>
      </c>
      <c r="E404" s="207"/>
      <c r="F404" s="201" t="s">
        <v>918</v>
      </c>
      <c r="G404" s="202">
        <v>44627</v>
      </c>
      <c r="H404" s="202">
        <v>44627</v>
      </c>
      <c r="I404" s="150"/>
      <c r="J404" s="202">
        <v>44641</v>
      </c>
      <c r="K404" s="150"/>
      <c r="L404" s="150"/>
      <c r="M404" s="150"/>
      <c r="N404" s="150"/>
      <c r="O404" s="150"/>
      <c r="P404" s="150"/>
      <c r="S404" s="332">
        <f t="shared" si="167"/>
        <v>33</v>
      </c>
      <c r="T404" s="363">
        <v>33</v>
      </c>
      <c r="U404" s="363">
        <v>0</v>
      </c>
      <c r="V404" s="363">
        <v>33</v>
      </c>
      <c r="Z404" s="148" t="s">
        <v>53</v>
      </c>
      <c r="AG404" s="134" t="s">
        <v>85</v>
      </c>
      <c r="AH404" s="134" t="s">
        <v>86</v>
      </c>
      <c r="AL404" s="148" t="s">
        <v>57</v>
      </c>
      <c r="AR404" s="135">
        <f>COUNTIF(B:B,B404)</f>
        <v>1</v>
      </c>
      <c r="AS404" s="135" t="str">
        <f t="shared" si="168"/>
        <v>2022_03_07_a</v>
      </c>
      <c r="AT404" s="136"/>
      <c r="AU404" s="135" t="str">
        <f t="shared" si="169"/>
        <v>2022</v>
      </c>
      <c r="AV404" s="135" t="str">
        <f t="shared" si="170"/>
        <v>03</v>
      </c>
      <c r="AW404" s="135" t="str">
        <f t="shared" si="171"/>
        <v>07</v>
      </c>
      <c r="AX404" s="135">
        <f t="shared" si="172"/>
        <v>44627</v>
      </c>
      <c r="AY404" s="137"/>
      <c r="AZ404" s="138">
        <f t="shared" si="173"/>
        <v>44627</v>
      </c>
      <c r="BA404" s="135" t="b">
        <f t="shared" si="174"/>
        <v>1</v>
      </c>
      <c r="BB404" s="135">
        <f t="shared" si="175"/>
        <v>44627</v>
      </c>
      <c r="BC404" s="135" t="str">
        <f t="shared" si="176"/>
        <v>no</v>
      </c>
      <c r="BD404" s="135" t="b">
        <f t="shared" si="177"/>
        <v>0</v>
      </c>
      <c r="BE404" s="139" t="s">
        <v>59</v>
      </c>
      <c r="BF404" s="130"/>
    </row>
    <row r="405" spans="1:59" s="148" customFormat="1" ht="24" customHeight="1">
      <c r="A405" s="204"/>
      <c r="B405" s="205" t="s">
        <v>996</v>
      </c>
      <c r="C405" s="206"/>
      <c r="D405" s="240" t="s">
        <v>971</v>
      </c>
      <c r="E405" s="207"/>
      <c r="F405" s="201" t="s">
        <v>918</v>
      </c>
      <c r="G405" s="202">
        <v>44634</v>
      </c>
      <c r="H405" s="202">
        <v>44634</v>
      </c>
      <c r="I405" s="150"/>
      <c r="J405" s="202">
        <v>44634</v>
      </c>
      <c r="K405" s="150"/>
      <c r="L405" s="150"/>
      <c r="M405" s="150"/>
      <c r="N405" s="150"/>
      <c r="O405" s="150"/>
      <c r="P405" s="150"/>
      <c r="S405" s="332">
        <f t="shared" si="167"/>
        <v>1</v>
      </c>
      <c r="T405" s="363">
        <v>1</v>
      </c>
      <c r="U405" s="363">
        <v>0</v>
      </c>
      <c r="V405" s="363">
        <v>1</v>
      </c>
      <c r="AG405" s="332" t="s">
        <v>85</v>
      </c>
      <c r="AH405" s="134" t="s">
        <v>86</v>
      </c>
      <c r="AL405" s="148" t="s">
        <v>57</v>
      </c>
      <c r="AM405" s="148" t="s">
        <v>972</v>
      </c>
      <c r="AR405" s="135">
        <f>COUNTIF(B:B,B405)</f>
        <v>1</v>
      </c>
      <c r="AS405" s="135" t="str">
        <f t="shared" si="168"/>
        <v>2022_03_14_a</v>
      </c>
      <c r="AT405" s="136"/>
      <c r="AU405" s="135" t="str">
        <f t="shared" si="169"/>
        <v>2022</v>
      </c>
      <c r="AV405" s="135" t="str">
        <f t="shared" si="170"/>
        <v>03</v>
      </c>
      <c r="AW405" s="135" t="str">
        <f t="shared" si="171"/>
        <v>14</v>
      </c>
      <c r="AX405" s="135">
        <f t="shared" si="172"/>
        <v>44634</v>
      </c>
      <c r="AY405" s="137"/>
      <c r="AZ405" s="138">
        <f t="shared" si="173"/>
        <v>44634</v>
      </c>
      <c r="BA405" s="135" t="b">
        <f t="shared" si="174"/>
        <v>1</v>
      </c>
      <c r="BB405" s="135" t="str">
        <f t="shared" si="175"/>
        <v xml:space="preserve"> </v>
      </c>
      <c r="BC405" s="135" t="str">
        <f t="shared" si="176"/>
        <v>yes</v>
      </c>
      <c r="BD405" s="135" t="b">
        <f t="shared" si="177"/>
        <v>0</v>
      </c>
      <c r="BE405" s="139" t="s">
        <v>59</v>
      </c>
      <c r="BF405" s="130"/>
    </row>
    <row r="406" spans="1:59" s="148" customFormat="1" ht="24" customHeight="1">
      <c r="A406" s="204"/>
      <c r="B406" s="205" t="s">
        <v>997</v>
      </c>
      <c r="C406" s="206"/>
      <c r="D406" s="240" t="s">
        <v>971</v>
      </c>
      <c r="E406" s="207"/>
      <c r="F406" s="201" t="s">
        <v>918</v>
      </c>
      <c r="G406" s="202">
        <v>44635</v>
      </c>
      <c r="H406" s="202">
        <v>44635</v>
      </c>
      <c r="I406" s="150"/>
      <c r="J406" s="202">
        <v>44635</v>
      </c>
      <c r="K406" s="150"/>
      <c r="L406" s="150"/>
      <c r="M406" s="150"/>
      <c r="N406" s="150"/>
      <c r="O406" s="150"/>
      <c r="P406" s="150"/>
      <c r="S406" s="332">
        <f t="shared" si="167"/>
        <v>3</v>
      </c>
      <c r="T406" s="363">
        <v>3</v>
      </c>
      <c r="U406" s="363">
        <v>0</v>
      </c>
      <c r="V406" s="363">
        <v>3</v>
      </c>
      <c r="AG406" s="332" t="s">
        <v>85</v>
      </c>
      <c r="AH406" s="134" t="s">
        <v>86</v>
      </c>
      <c r="AL406" s="148" t="s">
        <v>57</v>
      </c>
      <c r="AM406" s="148" t="s">
        <v>972</v>
      </c>
      <c r="AR406" s="135">
        <f>COUNTIF(B:B,B406)</f>
        <v>1</v>
      </c>
      <c r="AS406" s="135" t="str">
        <f t="shared" si="168"/>
        <v>2022_03_15_a</v>
      </c>
      <c r="AT406" s="136"/>
      <c r="AU406" s="135" t="str">
        <f t="shared" si="169"/>
        <v>2022</v>
      </c>
      <c r="AV406" s="135" t="str">
        <f t="shared" si="170"/>
        <v>03</v>
      </c>
      <c r="AW406" s="135" t="str">
        <f t="shared" si="171"/>
        <v>15</v>
      </c>
      <c r="AX406" s="135">
        <f t="shared" si="172"/>
        <v>44635</v>
      </c>
      <c r="AY406" s="137"/>
      <c r="AZ406" s="138">
        <f t="shared" si="173"/>
        <v>44635</v>
      </c>
      <c r="BA406" s="135" t="b">
        <f t="shared" si="174"/>
        <v>1</v>
      </c>
      <c r="BB406" s="135" t="str">
        <f t="shared" si="175"/>
        <v xml:space="preserve"> </v>
      </c>
      <c r="BC406" s="135" t="str">
        <f t="shared" si="176"/>
        <v>yes</v>
      </c>
      <c r="BD406" s="135" t="b">
        <f t="shared" si="177"/>
        <v>0</v>
      </c>
      <c r="BE406" s="139" t="s">
        <v>59</v>
      </c>
      <c r="BF406" s="130"/>
    </row>
    <row r="407" spans="1:59" s="148" customFormat="1" ht="24" customHeight="1">
      <c r="A407" s="204"/>
      <c r="B407" s="214" t="s">
        <v>998</v>
      </c>
      <c r="C407" s="206"/>
      <c r="D407" s="240">
        <v>10261056</v>
      </c>
      <c r="E407" s="207"/>
      <c r="F407" s="201" t="s">
        <v>918</v>
      </c>
      <c r="G407" s="202">
        <v>44676</v>
      </c>
      <c r="H407" s="202">
        <v>44676</v>
      </c>
      <c r="I407" s="150"/>
      <c r="J407" s="202">
        <v>44690</v>
      </c>
      <c r="K407" s="150"/>
      <c r="L407" s="150"/>
      <c r="M407" s="150"/>
      <c r="N407" s="150"/>
      <c r="O407" s="150"/>
      <c r="P407" s="150"/>
      <c r="S407" s="332">
        <f t="shared" si="167"/>
        <v>31</v>
      </c>
      <c r="T407" s="363">
        <v>31</v>
      </c>
      <c r="U407" s="363">
        <v>0</v>
      </c>
      <c r="V407" s="363">
        <v>31</v>
      </c>
      <c r="Z407" s="148" t="s">
        <v>53</v>
      </c>
      <c r="AG407" s="134" t="s">
        <v>85</v>
      </c>
      <c r="AH407" s="134" t="s">
        <v>86</v>
      </c>
      <c r="AL407" s="148" t="s">
        <v>57</v>
      </c>
      <c r="AR407" s="135">
        <f>COUNTIF(B:B,B407)</f>
        <v>1</v>
      </c>
      <c r="AS407" s="135" t="str">
        <f t="shared" si="168"/>
        <v>2022_04_25_a</v>
      </c>
      <c r="AT407" s="136"/>
      <c r="AU407" s="135" t="str">
        <f t="shared" si="169"/>
        <v>2022</v>
      </c>
      <c r="AV407" s="135" t="str">
        <f t="shared" si="170"/>
        <v>04</v>
      </c>
      <c r="AW407" s="135" t="str">
        <f t="shared" si="171"/>
        <v>25</v>
      </c>
      <c r="AX407" s="135">
        <f t="shared" si="172"/>
        <v>44676</v>
      </c>
      <c r="AY407" s="137"/>
      <c r="AZ407" s="138">
        <f t="shared" si="173"/>
        <v>44676</v>
      </c>
      <c r="BA407" s="135" t="b">
        <f t="shared" si="174"/>
        <v>1</v>
      </c>
      <c r="BB407" s="135">
        <f t="shared" si="175"/>
        <v>44676</v>
      </c>
      <c r="BC407" s="135" t="str">
        <f t="shared" si="176"/>
        <v>no</v>
      </c>
      <c r="BD407" s="135" t="b">
        <f t="shared" si="177"/>
        <v>0</v>
      </c>
      <c r="BE407" s="139" t="s">
        <v>59</v>
      </c>
      <c r="BF407" s="130"/>
    </row>
    <row r="408" spans="1:59" s="148" customFormat="1" ht="24" customHeight="1">
      <c r="A408" s="204"/>
      <c r="B408" s="214" t="s">
        <v>999</v>
      </c>
      <c r="C408" s="206"/>
      <c r="D408" s="227" t="s">
        <v>1000</v>
      </c>
      <c r="E408" s="207"/>
      <c r="F408" s="201" t="s">
        <v>918</v>
      </c>
      <c r="G408" s="202">
        <v>44690</v>
      </c>
      <c r="H408" s="202">
        <v>44690</v>
      </c>
      <c r="I408" s="150"/>
      <c r="J408" s="202">
        <v>44704</v>
      </c>
      <c r="K408" s="150"/>
      <c r="L408" s="150"/>
      <c r="M408" s="150"/>
      <c r="N408" s="150"/>
      <c r="O408" s="150"/>
      <c r="P408" s="150"/>
      <c r="S408" s="332">
        <f t="shared" si="167"/>
        <v>0</v>
      </c>
      <c r="T408" s="362">
        <v>0</v>
      </c>
      <c r="U408" s="362">
        <v>0</v>
      </c>
      <c r="V408" s="362">
        <v>0</v>
      </c>
      <c r="Z408" s="148" t="s">
        <v>53</v>
      </c>
      <c r="AG408" s="134" t="s">
        <v>85</v>
      </c>
      <c r="AH408" s="134" t="s">
        <v>86</v>
      </c>
      <c r="AL408" s="148" t="s">
        <v>57</v>
      </c>
      <c r="AR408" s="135">
        <f>COUNTIF(B:B,B408)</f>
        <v>1</v>
      </c>
      <c r="AS408" s="135" t="str">
        <f t="shared" si="168"/>
        <v>2022_05_09_a</v>
      </c>
      <c r="AT408" s="136"/>
      <c r="AU408" s="135" t="str">
        <f t="shared" si="169"/>
        <v>2022</v>
      </c>
      <c r="AV408" s="135" t="str">
        <f t="shared" si="170"/>
        <v>05</v>
      </c>
      <c r="AW408" s="135" t="str">
        <f t="shared" si="171"/>
        <v>09</v>
      </c>
      <c r="AX408" s="135">
        <f t="shared" si="172"/>
        <v>44690</v>
      </c>
      <c r="AY408" s="137"/>
      <c r="AZ408" s="138">
        <f t="shared" si="173"/>
        <v>44690</v>
      </c>
      <c r="BA408" s="135" t="b">
        <f t="shared" si="174"/>
        <v>1</v>
      </c>
      <c r="BB408" s="135">
        <f t="shared" si="175"/>
        <v>44690</v>
      </c>
      <c r="BC408" s="135" t="str">
        <f t="shared" si="176"/>
        <v>no</v>
      </c>
      <c r="BD408" s="135" t="b">
        <f t="shared" si="177"/>
        <v>1</v>
      </c>
      <c r="BE408" s="139" t="s">
        <v>59</v>
      </c>
      <c r="BF408" s="130"/>
    </row>
    <row r="409" spans="1:59" s="148" customFormat="1" ht="24" customHeight="1">
      <c r="A409" s="204"/>
      <c r="B409" s="215" t="s">
        <v>1001</v>
      </c>
      <c r="C409" s="206"/>
      <c r="D409" s="240" t="s">
        <v>971</v>
      </c>
      <c r="E409" s="207"/>
      <c r="F409" s="201" t="s">
        <v>918</v>
      </c>
      <c r="G409" s="208">
        <v>44704</v>
      </c>
      <c r="H409" s="208">
        <v>44704</v>
      </c>
      <c r="I409" s="208"/>
      <c r="J409" s="208">
        <v>44704</v>
      </c>
      <c r="K409" s="209"/>
      <c r="L409" s="209"/>
      <c r="M409" s="209"/>
      <c r="N409" s="209"/>
      <c r="O409" s="209"/>
      <c r="P409" s="209"/>
      <c r="Q409" s="134"/>
      <c r="R409" s="134"/>
      <c r="S409" s="332">
        <f t="shared" si="167"/>
        <v>31</v>
      </c>
      <c r="T409" s="363">
        <v>31</v>
      </c>
      <c r="U409" s="363">
        <v>0</v>
      </c>
      <c r="V409" s="363">
        <v>31</v>
      </c>
      <c r="W409" s="134"/>
      <c r="X409" s="147"/>
      <c r="Y409" s="147"/>
      <c r="Z409" s="134"/>
      <c r="AA409" s="134"/>
      <c r="AB409" s="134"/>
      <c r="AC409" s="134"/>
      <c r="AD409" s="210"/>
      <c r="AE409" s="130"/>
      <c r="AF409" s="130"/>
      <c r="AG409" s="332" t="s">
        <v>85</v>
      </c>
      <c r="AH409" s="134" t="s">
        <v>86</v>
      </c>
      <c r="AI409" s="134"/>
      <c r="AM409" s="148" t="s">
        <v>972</v>
      </c>
      <c r="AR409" s="135">
        <f>COUNTIF(B:B,B409)</f>
        <v>1</v>
      </c>
      <c r="AS409" s="135" t="str">
        <f t="shared" si="168"/>
        <v>2022_05_23_a</v>
      </c>
      <c r="AT409" s="136"/>
      <c r="AU409" s="135" t="str">
        <f t="shared" si="169"/>
        <v>2022</v>
      </c>
      <c r="AV409" s="135" t="str">
        <f t="shared" si="170"/>
        <v>05</v>
      </c>
      <c r="AW409" s="135" t="str">
        <f t="shared" si="171"/>
        <v>23</v>
      </c>
      <c r="AX409" s="135">
        <f t="shared" si="172"/>
        <v>44704</v>
      </c>
      <c r="AY409" s="137"/>
      <c r="AZ409" s="138">
        <f t="shared" si="173"/>
        <v>44704</v>
      </c>
      <c r="BA409" s="135" t="b">
        <f t="shared" si="174"/>
        <v>1</v>
      </c>
      <c r="BB409" s="135" t="str">
        <f t="shared" si="175"/>
        <v xml:space="preserve"> </v>
      </c>
      <c r="BC409" s="135" t="str">
        <f t="shared" si="176"/>
        <v>yes</v>
      </c>
      <c r="BD409" s="135" t="b">
        <f t="shared" si="177"/>
        <v>0</v>
      </c>
      <c r="BE409" s="139" t="s">
        <v>59</v>
      </c>
      <c r="BF409" s="130"/>
    </row>
    <row r="410" spans="1:59" s="148" customFormat="1" ht="24" customHeight="1">
      <c r="A410" s="204"/>
      <c r="B410" s="214" t="s">
        <v>1002</v>
      </c>
      <c r="C410" s="206"/>
      <c r="D410" s="240">
        <v>10261057</v>
      </c>
      <c r="E410" s="207"/>
      <c r="F410" s="201" t="s">
        <v>918</v>
      </c>
      <c r="G410" s="202">
        <v>44718</v>
      </c>
      <c r="H410" s="202">
        <v>44718</v>
      </c>
      <c r="I410" s="150"/>
      <c r="J410" s="202">
        <v>44732</v>
      </c>
      <c r="K410" s="150"/>
      <c r="L410" s="150"/>
      <c r="M410" s="150"/>
      <c r="N410" s="150"/>
      <c r="O410" s="150"/>
      <c r="P410" s="150"/>
      <c r="S410" s="332">
        <f t="shared" si="167"/>
        <v>40</v>
      </c>
      <c r="T410" s="363">
        <v>40</v>
      </c>
      <c r="U410" s="363">
        <v>0</v>
      </c>
      <c r="V410" s="363">
        <v>40</v>
      </c>
      <c r="Z410" s="148" t="s">
        <v>53</v>
      </c>
      <c r="AG410" s="134" t="s">
        <v>85</v>
      </c>
      <c r="AH410" s="134" t="s">
        <v>86</v>
      </c>
      <c r="AL410" s="148" t="s">
        <v>57</v>
      </c>
      <c r="AR410" s="135">
        <f>COUNTIF(B:B,B410)</f>
        <v>1</v>
      </c>
      <c r="AS410" s="135" t="str">
        <f t="shared" si="168"/>
        <v>2022_06_06_a</v>
      </c>
      <c r="AT410" s="136"/>
      <c r="AU410" s="135" t="str">
        <f t="shared" si="169"/>
        <v>2022</v>
      </c>
      <c r="AV410" s="135" t="str">
        <f t="shared" si="170"/>
        <v>06</v>
      </c>
      <c r="AW410" s="135" t="str">
        <f t="shared" si="171"/>
        <v>06</v>
      </c>
      <c r="AX410" s="135">
        <f t="shared" si="172"/>
        <v>44718</v>
      </c>
      <c r="AY410" s="137"/>
      <c r="AZ410" s="138">
        <f t="shared" si="173"/>
        <v>44718</v>
      </c>
      <c r="BA410" s="135" t="b">
        <f t="shared" si="174"/>
        <v>1</v>
      </c>
      <c r="BB410" s="135">
        <f t="shared" si="175"/>
        <v>44718</v>
      </c>
      <c r="BC410" s="135" t="str">
        <f t="shared" si="176"/>
        <v>no</v>
      </c>
      <c r="BD410" s="135" t="b">
        <f t="shared" si="177"/>
        <v>0</v>
      </c>
      <c r="BE410" s="139" t="s">
        <v>59</v>
      </c>
      <c r="BF410" s="130"/>
    </row>
    <row r="411" spans="1:59" s="148" customFormat="1" ht="24" customHeight="1">
      <c r="A411" s="204"/>
      <c r="B411" s="214" t="s">
        <v>1003</v>
      </c>
      <c r="C411" s="206"/>
      <c r="D411" s="240">
        <v>10261087</v>
      </c>
      <c r="E411" s="207"/>
      <c r="F411" s="201" t="s">
        <v>918</v>
      </c>
      <c r="G411" s="202">
        <v>44718</v>
      </c>
      <c r="H411" s="202">
        <v>44718</v>
      </c>
      <c r="I411" s="150"/>
      <c r="J411" s="202">
        <v>44732</v>
      </c>
      <c r="K411" s="150"/>
      <c r="L411" s="150"/>
      <c r="M411" s="150"/>
      <c r="N411" s="150"/>
      <c r="O411" s="150"/>
      <c r="P411" s="150"/>
      <c r="S411" s="332">
        <f t="shared" si="167"/>
        <v>43</v>
      </c>
      <c r="T411" s="363">
        <v>43</v>
      </c>
      <c r="U411" s="363">
        <v>7</v>
      </c>
      <c r="V411" s="363">
        <v>36</v>
      </c>
      <c r="Z411" s="148" t="s">
        <v>53</v>
      </c>
      <c r="AG411" s="134" t="s">
        <v>85</v>
      </c>
      <c r="AH411" s="134" t="s">
        <v>86</v>
      </c>
      <c r="AL411" s="148" t="s">
        <v>57</v>
      </c>
      <c r="AR411" s="135">
        <f>COUNTIF(B:B,B411)</f>
        <v>1</v>
      </c>
      <c r="AS411" s="135" t="str">
        <f t="shared" si="168"/>
        <v>2022_06_06_b</v>
      </c>
      <c r="AT411" s="136"/>
      <c r="AU411" s="135" t="str">
        <f t="shared" si="169"/>
        <v>2022</v>
      </c>
      <c r="AV411" s="135" t="str">
        <f t="shared" si="170"/>
        <v>06</v>
      </c>
      <c r="AW411" s="135" t="str">
        <f t="shared" si="171"/>
        <v>06</v>
      </c>
      <c r="AX411" s="135">
        <f t="shared" si="172"/>
        <v>44718</v>
      </c>
      <c r="AY411" s="137"/>
      <c r="AZ411" s="138">
        <f t="shared" si="173"/>
        <v>44718</v>
      </c>
      <c r="BA411" s="135" t="b">
        <f t="shared" si="174"/>
        <v>1</v>
      </c>
      <c r="BB411" s="135">
        <f t="shared" si="175"/>
        <v>44718</v>
      </c>
      <c r="BC411" s="135" t="str">
        <f t="shared" si="176"/>
        <v>no</v>
      </c>
      <c r="BD411" s="135" t="b">
        <f t="shared" si="177"/>
        <v>0</v>
      </c>
      <c r="BE411" s="139" t="s">
        <v>59</v>
      </c>
      <c r="BF411" s="130"/>
    </row>
    <row r="412" spans="1:59" s="197" customFormat="1" ht="24" customHeight="1">
      <c r="A412" s="216"/>
      <c r="B412" s="217" t="s">
        <v>1004</v>
      </c>
      <c r="C412" s="218"/>
      <c r="D412" s="240" t="s">
        <v>971</v>
      </c>
      <c r="E412" s="219"/>
      <c r="F412" s="152" t="s">
        <v>918</v>
      </c>
      <c r="G412" s="220">
        <v>44735</v>
      </c>
      <c r="H412" s="220">
        <v>44735</v>
      </c>
      <c r="I412" s="221"/>
      <c r="J412" s="220">
        <v>44735</v>
      </c>
      <c r="K412" s="221"/>
      <c r="L412" s="221"/>
      <c r="M412" s="221"/>
      <c r="N412" s="221"/>
      <c r="O412" s="221"/>
      <c r="P412" s="221"/>
      <c r="S412" s="332">
        <f t="shared" si="167"/>
        <v>1</v>
      </c>
      <c r="T412" s="363">
        <v>1</v>
      </c>
      <c r="U412" s="363">
        <v>0</v>
      </c>
      <c r="V412" s="363">
        <v>1</v>
      </c>
      <c r="Z412" s="197" t="s">
        <v>53</v>
      </c>
      <c r="AG412" s="197" t="s">
        <v>85</v>
      </c>
      <c r="AH412" s="197" t="s">
        <v>86</v>
      </c>
      <c r="AL412" s="197" t="s">
        <v>57</v>
      </c>
      <c r="AM412" s="197" t="s">
        <v>972</v>
      </c>
      <c r="AR412" s="135">
        <f>COUNTIF(B:B,B412)</f>
        <v>1</v>
      </c>
      <c r="AS412" s="135" t="str">
        <f t="shared" si="168"/>
        <v>2022_06_23_a</v>
      </c>
      <c r="AT412" s="136"/>
      <c r="AU412" s="135" t="str">
        <f t="shared" si="169"/>
        <v>2022</v>
      </c>
      <c r="AV412" s="135" t="str">
        <f t="shared" si="170"/>
        <v>06</v>
      </c>
      <c r="AW412" s="135" t="str">
        <f t="shared" si="171"/>
        <v>23</v>
      </c>
      <c r="AX412" s="135">
        <f t="shared" si="172"/>
        <v>44735</v>
      </c>
      <c r="AY412" s="137"/>
      <c r="AZ412" s="138">
        <f t="shared" si="173"/>
        <v>44735</v>
      </c>
      <c r="BA412" s="135" t="b">
        <f t="shared" si="174"/>
        <v>1</v>
      </c>
      <c r="BB412" s="135" t="str">
        <f t="shared" si="175"/>
        <v xml:space="preserve"> </v>
      </c>
      <c r="BC412" s="135" t="str">
        <f t="shared" si="176"/>
        <v>yes</v>
      </c>
      <c r="BD412" s="135" t="b">
        <f t="shared" si="177"/>
        <v>0</v>
      </c>
      <c r="BE412" s="139" t="s">
        <v>59</v>
      </c>
    </row>
    <row r="413" spans="1:59" s="197" customFormat="1" ht="24" customHeight="1">
      <c r="A413" s="216"/>
      <c r="B413" s="217" t="s">
        <v>1005</v>
      </c>
      <c r="C413" s="218"/>
      <c r="D413" s="240">
        <v>10282916</v>
      </c>
      <c r="E413" s="219"/>
      <c r="F413" s="152" t="s">
        <v>918</v>
      </c>
      <c r="G413" s="220">
        <v>44753</v>
      </c>
      <c r="H413" s="220">
        <v>44753</v>
      </c>
      <c r="I413" s="221"/>
      <c r="J413" s="220">
        <v>44767</v>
      </c>
      <c r="K413" s="221"/>
      <c r="L413" s="221"/>
      <c r="M413" s="221"/>
      <c r="N413" s="221"/>
      <c r="O413" s="221"/>
      <c r="P413" s="221"/>
      <c r="S413" s="332">
        <f t="shared" si="167"/>
        <v>32</v>
      </c>
      <c r="T413" s="363">
        <v>32</v>
      </c>
      <c r="U413" s="363">
        <v>0</v>
      </c>
      <c r="V413" s="363">
        <v>32</v>
      </c>
      <c r="Z413" s="197" t="s">
        <v>53</v>
      </c>
      <c r="AG413" s="197" t="s">
        <v>85</v>
      </c>
      <c r="AH413" s="197" t="s">
        <v>1006</v>
      </c>
      <c r="AL413" s="197" t="s">
        <v>57</v>
      </c>
      <c r="AR413" s="135">
        <f>COUNTIF(B:B,B413)</f>
        <v>1</v>
      </c>
      <c r="AS413" s="135" t="str">
        <f t="shared" si="168"/>
        <v>2022_07_11_a</v>
      </c>
      <c r="AT413" s="136"/>
      <c r="AU413" s="135" t="str">
        <f t="shared" si="169"/>
        <v>2022</v>
      </c>
      <c r="AV413" s="135" t="str">
        <f t="shared" si="170"/>
        <v>07</v>
      </c>
      <c r="AW413" s="135" t="str">
        <f t="shared" si="171"/>
        <v>11</v>
      </c>
      <c r="AX413" s="135">
        <f t="shared" si="172"/>
        <v>44753</v>
      </c>
      <c r="AY413" s="137"/>
      <c r="AZ413" s="138">
        <f t="shared" si="173"/>
        <v>44753</v>
      </c>
      <c r="BA413" s="135" t="b">
        <f t="shared" si="174"/>
        <v>1</v>
      </c>
      <c r="BB413" s="135">
        <f t="shared" si="175"/>
        <v>44753</v>
      </c>
      <c r="BC413" s="135" t="str">
        <f t="shared" si="176"/>
        <v>no</v>
      </c>
      <c r="BD413" s="135" t="b">
        <f t="shared" si="177"/>
        <v>0</v>
      </c>
      <c r="BE413" s="139" t="s">
        <v>59</v>
      </c>
    </row>
    <row r="414" spans="1:59" s="197" customFormat="1" ht="24" customHeight="1">
      <c r="A414" s="216"/>
      <c r="B414" s="217" t="s">
        <v>1007</v>
      </c>
      <c r="C414" s="218"/>
      <c r="D414" s="240">
        <v>10283860</v>
      </c>
      <c r="E414" s="219"/>
      <c r="F414" s="152" t="s">
        <v>918</v>
      </c>
      <c r="G414" s="220">
        <v>44760</v>
      </c>
      <c r="H414" s="220">
        <v>44760</v>
      </c>
      <c r="I414" s="221"/>
      <c r="J414" s="220">
        <v>44774</v>
      </c>
      <c r="K414" s="221"/>
      <c r="L414" s="221"/>
      <c r="M414" s="221"/>
      <c r="N414" s="221"/>
      <c r="O414" s="221"/>
      <c r="P414" s="221"/>
      <c r="S414" s="332">
        <f t="shared" si="167"/>
        <v>8</v>
      </c>
      <c r="T414" s="363">
        <v>8</v>
      </c>
      <c r="U414" s="363">
        <v>0</v>
      </c>
      <c r="V414" s="363">
        <v>8</v>
      </c>
      <c r="Z414" s="197" t="s">
        <v>53</v>
      </c>
      <c r="AG414" s="197" t="s">
        <v>85</v>
      </c>
      <c r="AH414" s="197" t="s">
        <v>86</v>
      </c>
      <c r="AL414" s="197" t="s">
        <v>57</v>
      </c>
      <c r="AR414" s="135">
        <f>COUNTIF(B:B,B414)</f>
        <v>1</v>
      </c>
      <c r="AS414" s="135" t="str">
        <f t="shared" si="168"/>
        <v>2022_07_18_a</v>
      </c>
      <c r="AT414" s="136"/>
      <c r="AU414" s="135" t="str">
        <f t="shared" si="169"/>
        <v>2022</v>
      </c>
      <c r="AV414" s="135" t="str">
        <f t="shared" si="170"/>
        <v>07</v>
      </c>
      <c r="AW414" s="135" t="str">
        <f t="shared" si="171"/>
        <v>18</v>
      </c>
      <c r="AX414" s="135">
        <f t="shared" si="172"/>
        <v>44760</v>
      </c>
      <c r="AY414" s="137"/>
      <c r="AZ414" s="138">
        <f t="shared" si="173"/>
        <v>44760</v>
      </c>
      <c r="BA414" s="135" t="b">
        <f t="shared" si="174"/>
        <v>1</v>
      </c>
      <c r="BB414" s="135">
        <f t="shared" si="175"/>
        <v>44760</v>
      </c>
      <c r="BC414" s="135" t="str">
        <f t="shared" si="176"/>
        <v>no</v>
      </c>
      <c r="BD414" s="135" t="b">
        <f t="shared" si="177"/>
        <v>0</v>
      </c>
      <c r="BE414" s="139" t="s">
        <v>59</v>
      </c>
    </row>
    <row r="415" spans="1:59" s="148" customFormat="1" ht="24" customHeight="1">
      <c r="A415" s="216"/>
      <c r="B415" s="217" t="s">
        <v>1008</v>
      </c>
      <c r="C415" s="215"/>
      <c r="D415" s="227" t="s">
        <v>971</v>
      </c>
      <c r="E415" s="250"/>
      <c r="F415" s="251" t="s">
        <v>1009</v>
      </c>
      <c r="G415" s="252">
        <v>44768</v>
      </c>
      <c r="H415" s="253">
        <v>44768</v>
      </c>
      <c r="I415" s="254"/>
      <c r="J415" s="253">
        <v>44781</v>
      </c>
      <c r="K415" s="254"/>
      <c r="L415" s="254"/>
      <c r="M415" s="254"/>
      <c r="N415" s="254"/>
      <c r="O415" s="254"/>
      <c r="P415" s="254"/>
      <c r="Q415" s="215"/>
      <c r="R415" s="215"/>
      <c r="S415" s="332">
        <f t="shared" si="167"/>
        <v>2</v>
      </c>
      <c r="T415" s="362">
        <v>2</v>
      </c>
      <c r="U415" s="362">
        <v>0</v>
      </c>
      <c r="V415" s="362">
        <v>2</v>
      </c>
      <c r="W415" s="215"/>
      <c r="X415" s="215"/>
      <c r="Y415" s="215"/>
      <c r="Z415" s="255" t="s">
        <v>53</v>
      </c>
      <c r="AA415" s="215"/>
      <c r="AB415" s="215"/>
      <c r="AC415" s="215"/>
      <c r="AD415" s="215"/>
      <c r="AE415" s="215"/>
      <c r="AF415" s="215"/>
      <c r="AG415" s="255" t="s">
        <v>85</v>
      </c>
      <c r="AH415" s="197" t="s">
        <v>86</v>
      </c>
      <c r="AI415" s="215"/>
      <c r="AJ415" s="215"/>
      <c r="AK415" s="215"/>
      <c r="AL415" s="255" t="s">
        <v>57</v>
      </c>
      <c r="AM415" s="215"/>
      <c r="AN415" s="215"/>
      <c r="AO415" s="215"/>
      <c r="AP415" s="215"/>
      <c r="AQ415" s="215"/>
      <c r="AR415" s="135">
        <f>COUNTIF(B:B,B415)</f>
        <v>1</v>
      </c>
      <c r="AS415" s="135" t="str">
        <f t="shared" si="168"/>
        <v>2022_07_26_a</v>
      </c>
      <c r="AT415" s="136"/>
      <c r="AU415" s="135" t="str">
        <f t="shared" si="169"/>
        <v>2022</v>
      </c>
      <c r="AV415" s="135" t="str">
        <f t="shared" si="170"/>
        <v>07</v>
      </c>
      <c r="AW415" s="135" t="str">
        <f t="shared" si="171"/>
        <v>26</v>
      </c>
      <c r="AX415" s="135">
        <f t="shared" si="172"/>
        <v>44768</v>
      </c>
      <c r="AY415" s="137"/>
      <c r="AZ415" s="138">
        <f t="shared" si="173"/>
        <v>44768</v>
      </c>
      <c r="BA415" s="135" t="b">
        <f t="shared" si="174"/>
        <v>1</v>
      </c>
      <c r="BB415" s="135">
        <f t="shared" si="175"/>
        <v>44768</v>
      </c>
      <c r="BC415" s="135" t="str">
        <f t="shared" si="176"/>
        <v>no</v>
      </c>
      <c r="BD415" s="135" t="b">
        <f t="shared" si="177"/>
        <v>0</v>
      </c>
      <c r="BE415" s="139" t="s">
        <v>59</v>
      </c>
      <c r="BF415" s="197"/>
      <c r="BG415" s="219"/>
    </row>
    <row r="416" spans="1:59" s="148" customFormat="1" ht="24" customHeight="1">
      <c r="A416" s="204"/>
      <c r="B416" s="214" t="s">
        <v>1010</v>
      </c>
      <c r="C416" s="206"/>
      <c r="D416" s="240">
        <v>10292876</v>
      </c>
      <c r="E416" s="207"/>
      <c r="F416" s="201" t="s">
        <v>918</v>
      </c>
      <c r="G416" s="202">
        <v>44781</v>
      </c>
      <c r="H416" s="202">
        <v>44781</v>
      </c>
      <c r="I416" s="150"/>
      <c r="J416" s="202">
        <v>44795</v>
      </c>
      <c r="K416" s="150"/>
      <c r="L416" s="150"/>
      <c r="M416" s="150"/>
      <c r="N416" s="150"/>
      <c r="O416" s="150"/>
      <c r="P416" s="150"/>
      <c r="S416" s="332">
        <f t="shared" si="167"/>
        <v>17</v>
      </c>
      <c r="T416" s="363">
        <v>17</v>
      </c>
      <c r="U416" s="363">
        <v>1</v>
      </c>
      <c r="V416" s="363">
        <v>16</v>
      </c>
      <c r="Z416" s="148" t="s">
        <v>53</v>
      </c>
      <c r="AG416" s="134" t="s">
        <v>85</v>
      </c>
      <c r="AH416" s="148" t="s">
        <v>86</v>
      </c>
      <c r="AL416" s="148" t="s">
        <v>57</v>
      </c>
      <c r="AR416" s="135">
        <f>COUNTIF(B:B,B416)</f>
        <v>1</v>
      </c>
      <c r="AS416" s="135" t="str">
        <f t="shared" si="168"/>
        <v>2022_08_08_a</v>
      </c>
      <c r="AT416" s="136"/>
      <c r="AU416" s="135" t="str">
        <f t="shared" si="169"/>
        <v>2022</v>
      </c>
      <c r="AV416" s="135" t="str">
        <f t="shared" si="170"/>
        <v>08</v>
      </c>
      <c r="AW416" s="135" t="str">
        <f t="shared" si="171"/>
        <v>08</v>
      </c>
      <c r="AX416" s="135">
        <f t="shared" si="172"/>
        <v>44781</v>
      </c>
      <c r="AY416" s="137"/>
      <c r="AZ416" s="138">
        <f t="shared" si="173"/>
        <v>44781</v>
      </c>
      <c r="BA416" s="135" t="b">
        <f t="shared" si="174"/>
        <v>1</v>
      </c>
      <c r="BB416" s="135">
        <f t="shared" si="175"/>
        <v>44781</v>
      </c>
      <c r="BC416" s="135" t="str">
        <f t="shared" si="176"/>
        <v>no</v>
      </c>
      <c r="BD416" s="135" t="b">
        <f t="shared" si="177"/>
        <v>0</v>
      </c>
      <c r="BE416" s="139" t="s">
        <v>59</v>
      </c>
      <c r="BF416" s="130"/>
    </row>
    <row r="417" spans="1:59" s="148" customFormat="1" ht="24" customHeight="1">
      <c r="A417" s="204"/>
      <c r="B417" s="214" t="s">
        <v>1011</v>
      </c>
      <c r="C417" s="206"/>
      <c r="D417" s="240">
        <v>10289364</v>
      </c>
      <c r="E417" s="207"/>
      <c r="F417" s="201" t="s">
        <v>918</v>
      </c>
      <c r="G417" s="202">
        <v>44788</v>
      </c>
      <c r="H417" s="202">
        <v>44788</v>
      </c>
      <c r="I417" s="150"/>
      <c r="J417" s="202">
        <v>44802</v>
      </c>
      <c r="K417" s="150"/>
      <c r="L417" s="150"/>
      <c r="M417" s="150"/>
      <c r="N417" s="150"/>
      <c r="O417" s="150"/>
      <c r="P417" s="150"/>
      <c r="S417" s="332">
        <f t="shared" si="167"/>
        <v>29</v>
      </c>
      <c r="T417" s="363">
        <v>29</v>
      </c>
      <c r="U417" s="363">
        <v>0</v>
      </c>
      <c r="V417" s="363">
        <v>29</v>
      </c>
      <c r="Z417" s="148" t="s">
        <v>53</v>
      </c>
      <c r="AG417" s="134" t="s">
        <v>85</v>
      </c>
      <c r="AH417" s="148" t="s">
        <v>86</v>
      </c>
      <c r="AL417" s="148" t="s">
        <v>57</v>
      </c>
      <c r="AR417" s="135">
        <f>COUNTIF(B:B,B417)</f>
        <v>1</v>
      </c>
      <c r="AS417" s="135" t="str">
        <f t="shared" si="168"/>
        <v>2022_08_15_a</v>
      </c>
      <c r="AT417" s="136"/>
      <c r="AU417" s="135" t="str">
        <f t="shared" si="169"/>
        <v>2022</v>
      </c>
      <c r="AV417" s="135" t="str">
        <f t="shared" si="170"/>
        <v>08</v>
      </c>
      <c r="AW417" s="135" t="str">
        <f t="shared" si="171"/>
        <v>15</v>
      </c>
      <c r="AX417" s="135">
        <f t="shared" si="172"/>
        <v>44788</v>
      </c>
      <c r="AY417" s="137"/>
      <c r="AZ417" s="138">
        <f t="shared" si="173"/>
        <v>44788</v>
      </c>
      <c r="BA417" s="135" t="b">
        <f t="shared" si="174"/>
        <v>1</v>
      </c>
      <c r="BB417" s="135">
        <f t="shared" si="175"/>
        <v>44788</v>
      </c>
      <c r="BC417" s="135" t="str">
        <f t="shared" si="176"/>
        <v>no</v>
      </c>
      <c r="BD417" s="135" t="b">
        <f t="shared" si="177"/>
        <v>0</v>
      </c>
      <c r="BE417" s="139" t="s">
        <v>59</v>
      </c>
      <c r="BF417" s="130"/>
    </row>
    <row r="418" spans="1:59" s="197" customFormat="1" ht="24" customHeight="1">
      <c r="A418" s="216"/>
      <c r="B418" s="217" t="s">
        <v>1012</v>
      </c>
      <c r="C418" s="218"/>
      <c r="D418" s="240" t="s">
        <v>971</v>
      </c>
      <c r="E418" s="219"/>
      <c r="F418" s="152" t="s">
        <v>918</v>
      </c>
      <c r="G418" s="220">
        <v>44788</v>
      </c>
      <c r="H418" s="220">
        <v>44788</v>
      </c>
      <c r="I418" s="221"/>
      <c r="J418" s="220">
        <v>44788</v>
      </c>
      <c r="K418" s="221"/>
      <c r="L418" s="221"/>
      <c r="M418" s="221"/>
      <c r="N418" s="221"/>
      <c r="O418" s="221"/>
      <c r="P418" s="221"/>
      <c r="S418" s="332">
        <f t="shared" si="167"/>
        <v>1</v>
      </c>
      <c r="T418" s="363">
        <v>1</v>
      </c>
      <c r="U418" s="363">
        <v>0</v>
      </c>
      <c r="V418" s="363">
        <v>1</v>
      </c>
      <c r="Z418" s="197" t="s">
        <v>53</v>
      </c>
      <c r="AG418" s="197" t="s">
        <v>85</v>
      </c>
      <c r="AH418" s="197" t="s">
        <v>86</v>
      </c>
      <c r="AL418" s="197" t="s">
        <v>57</v>
      </c>
      <c r="AM418" s="197" t="s">
        <v>972</v>
      </c>
      <c r="AR418" s="135">
        <f>COUNTIF(B:B,B418)</f>
        <v>1</v>
      </c>
      <c r="AS418" s="135" t="str">
        <f t="shared" si="168"/>
        <v>2022_08_15_b</v>
      </c>
      <c r="AT418" s="136"/>
      <c r="AU418" s="135" t="str">
        <f t="shared" si="169"/>
        <v>2022</v>
      </c>
      <c r="AV418" s="135" t="str">
        <f t="shared" si="170"/>
        <v>08</v>
      </c>
      <c r="AW418" s="135" t="str">
        <f t="shared" si="171"/>
        <v>15</v>
      </c>
      <c r="AX418" s="135">
        <f t="shared" si="172"/>
        <v>44788</v>
      </c>
      <c r="AY418" s="137"/>
      <c r="AZ418" s="138">
        <f t="shared" si="173"/>
        <v>44788</v>
      </c>
      <c r="BA418" s="135" t="b">
        <f t="shared" si="174"/>
        <v>1</v>
      </c>
      <c r="BB418" s="135" t="str">
        <f t="shared" si="175"/>
        <v xml:space="preserve"> </v>
      </c>
      <c r="BC418" s="135" t="str">
        <f t="shared" si="176"/>
        <v>yes</v>
      </c>
      <c r="BD418" s="135" t="b">
        <f t="shared" si="177"/>
        <v>0</v>
      </c>
      <c r="BE418" s="139" t="s">
        <v>59</v>
      </c>
    </row>
    <row r="419" spans="1:59" s="148" customFormat="1" ht="24" customHeight="1">
      <c r="A419" s="204"/>
      <c r="B419" s="214" t="s">
        <v>1013</v>
      </c>
      <c r="C419" s="206"/>
      <c r="D419" s="240">
        <v>10297275</v>
      </c>
      <c r="E419" s="207"/>
      <c r="F419" s="201" t="s">
        <v>918</v>
      </c>
      <c r="G419" s="202">
        <v>44816</v>
      </c>
      <c r="H419" s="202">
        <v>44816</v>
      </c>
      <c r="I419" s="150"/>
      <c r="J419" s="202">
        <v>44830</v>
      </c>
      <c r="K419" s="150"/>
      <c r="L419" s="150"/>
      <c r="M419" s="150"/>
      <c r="N419" s="150"/>
      <c r="O419" s="150"/>
      <c r="P419" s="150"/>
      <c r="R419" s="246" t="s">
        <v>1014</v>
      </c>
      <c r="S419" s="332">
        <f t="shared" si="167"/>
        <v>60</v>
      </c>
      <c r="T419" s="363">
        <v>60</v>
      </c>
      <c r="U419" s="363">
        <v>0</v>
      </c>
      <c r="V419" s="363">
        <v>60</v>
      </c>
      <c r="Z419" s="148" t="s">
        <v>53</v>
      </c>
      <c r="AG419" s="134" t="s">
        <v>85</v>
      </c>
      <c r="AH419" s="148" t="s">
        <v>86</v>
      </c>
      <c r="AL419" s="148" t="s">
        <v>57</v>
      </c>
      <c r="AR419" s="135">
        <f>COUNTIF(B:B,B419)</f>
        <v>1</v>
      </c>
      <c r="AS419" s="135" t="str">
        <f t="shared" si="168"/>
        <v>2022_09_12_a</v>
      </c>
      <c r="AT419" s="136"/>
      <c r="AU419" s="135" t="str">
        <f t="shared" si="169"/>
        <v>2022</v>
      </c>
      <c r="AV419" s="135" t="str">
        <f t="shared" si="170"/>
        <v>09</v>
      </c>
      <c r="AW419" s="135" t="str">
        <f t="shared" si="171"/>
        <v>12</v>
      </c>
      <c r="AX419" s="135">
        <f t="shared" si="172"/>
        <v>44816</v>
      </c>
      <c r="AY419" s="137"/>
      <c r="AZ419" s="138">
        <f t="shared" si="173"/>
        <v>44816</v>
      </c>
      <c r="BA419" s="135" t="b">
        <f t="shared" si="174"/>
        <v>1</v>
      </c>
      <c r="BB419" s="135">
        <f t="shared" si="175"/>
        <v>44816</v>
      </c>
      <c r="BC419" s="135" t="str">
        <f t="shared" si="176"/>
        <v>no</v>
      </c>
      <c r="BD419" s="135" t="b">
        <f t="shared" si="177"/>
        <v>0</v>
      </c>
      <c r="BE419" s="139" t="s">
        <v>59</v>
      </c>
      <c r="BF419" s="130"/>
    </row>
    <row r="420" spans="1:59" s="197" customFormat="1" ht="24" customHeight="1">
      <c r="A420" s="216"/>
      <c r="B420" s="217" t="s">
        <v>1015</v>
      </c>
      <c r="C420" s="218"/>
      <c r="D420" s="240" t="s">
        <v>971</v>
      </c>
      <c r="E420" s="219"/>
      <c r="F420" s="152" t="s">
        <v>918</v>
      </c>
      <c r="G420" s="220">
        <v>44872</v>
      </c>
      <c r="H420" s="220">
        <v>44851</v>
      </c>
      <c r="I420" s="221"/>
      <c r="J420" s="220">
        <v>44851</v>
      </c>
      <c r="K420" s="221"/>
      <c r="L420" s="221"/>
      <c r="M420" s="221"/>
      <c r="N420" s="221"/>
      <c r="O420" s="221"/>
      <c r="P420" s="221"/>
      <c r="S420" s="332">
        <f t="shared" si="167"/>
        <v>2</v>
      </c>
      <c r="T420" s="363">
        <v>2</v>
      </c>
      <c r="U420" s="363">
        <v>0</v>
      </c>
      <c r="V420" s="363">
        <v>2</v>
      </c>
      <c r="Z420" s="197" t="s">
        <v>53</v>
      </c>
      <c r="AG420" s="197" t="s">
        <v>85</v>
      </c>
      <c r="AH420" s="197" t="s">
        <v>86</v>
      </c>
      <c r="AL420" s="197" t="s">
        <v>57</v>
      </c>
      <c r="AR420" s="135">
        <f>COUNTIF(B:B,B420)</f>
        <v>1</v>
      </c>
      <c r="AS420" s="135" t="str">
        <f t="shared" si="168"/>
        <v>2022_10_17_a</v>
      </c>
      <c r="AT420" s="136"/>
      <c r="AU420" s="135" t="str">
        <f t="shared" si="169"/>
        <v>2022</v>
      </c>
      <c r="AV420" s="135" t="str">
        <f t="shared" si="170"/>
        <v>10</v>
      </c>
      <c r="AW420" s="135" t="str">
        <f t="shared" si="171"/>
        <v>17</v>
      </c>
      <c r="AX420" s="135">
        <f t="shared" si="172"/>
        <v>44851</v>
      </c>
      <c r="AY420" s="137"/>
      <c r="AZ420" s="138">
        <f t="shared" si="173"/>
        <v>44851</v>
      </c>
      <c r="BA420" s="135" t="b">
        <f t="shared" si="174"/>
        <v>1</v>
      </c>
      <c r="BB420" s="135">
        <f t="shared" si="175"/>
        <v>44851</v>
      </c>
      <c r="BC420" s="135" t="str">
        <f t="shared" si="176"/>
        <v>no</v>
      </c>
      <c r="BD420" s="135" t="b">
        <f t="shared" si="177"/>
        <v>0</v>
      </c>
      <c r="BE420" s="139" t="s">
        <v>59</v>
      </c>
    </row>
    <row r="421" spans="1:59" s="197" customFormat="1" ht="24" customHeight="1">
      <c r="A421" s="216"/>
      <c r="B421" s="217" t="s">
        <v>1016</v>
      </c>
      <c r="C421" s="218"/>
      <c r="D421" s="240" t="s">
        <v>971</v>
      </c>
      <c r="E421" s="219"/>
      <c r="F421" s="152" t="s">
        <v>918</v>
      </c>
      <c r="G421" s="220">
        <v>44872</v>
      </c>
      <c r="H421" s="220">
        <v>44872</v>
      </c>
      <c r="I421" s="221"/>
      <c r="J421" s="220">
        <v>44872</v>
      </c>
      <c r="K421" s="221"/>
      <c r="L421" s="221"/>
      <c r="M421" s="221"/>
      <c r="N421" s="221"/>
      <c r="O421" s="221"/>
      <c r="P421" s="221"/>
      <c r="S421" s="332">
        <f t="shared" ref="S421" si="178">U421+V421</f>
        <v>1</v>
      </c>
      <c r="T421" s="363">
        <v>1</v>
      </c>
      <c r="U421" s="363">
        <v>0</v>
      </c>
      <c r="V421" s="363">
        <v>1</v>
      </c>
      <c r="Z421" s="197" t="s">
        <v>53</v>
      </c>
      <c r="AG421" s="197" t="s">
        <v>85</v>
      </c>
      <c r="AH421" s="197" t="s">
        <v>86</v>
      </c>
      <c r="AL421" s="197" t="s">
        <v>57</v>
      </c>
      <c r="AM421" s="197" t="s">
        <v>972</v>
      </c>
      <c r="AR421" s="135">
        <f>COUNTIF(B:B,B421)</f>
        <v>1</v>
      </c>
      <c r="AS421" s="135" t="str">
        <f t="shared" si="168"/>
        <v>2022_11_07_a</v>
      </c>
      <c r="AT421" s="136"/>
      <c r="AU421" s="135" t="str">
        <f t="shared" si="169"/>
        <v>2022</v>
      </c>
      <c r="AV421" s="135" t="str">
        <f t="shared" si="170"/>
        <v>11</v>
      </c>
      <c r="AW421" s="135" t="str">
        <f t="shared" si="171"/>
        <v>07</v>
      </c>
      <c r="AX421" s="135">
        <f t="shared" si="172"/>
        <v>44872</v>
      </c>
      <c r="AY421" s="137"/>
      <c r="AZ421" s="138">
        <f t="shared" si="173"/>
        <v>44872</v>
      </c>
      <c r="BA421" s="135" t="b">
        <f t="shared" si="174"/>
        <v>1</v>
      </c>
      <c r="BB421" s="135" t="str">
        <f t="shared" si="175"/>
        <v xml:space="preserve"> </v>
      </c>
      <c r="BC421" s="135" t="str">
        <f t="shared" si="176"/>
        <v>yes</v>
      </c>
      <c r="BD421" s="135" t="b">
        <f t="shared" si="177"/>
        <v>0</v>
      </c>
      <c r="BE421" s="139" t="s">
        <v>59</v>
      </c>
    </row>
    <row r="422" spans="1:59" s="148" customFormat="1" ht="24" customHeight="1">
      <c r="A422" s="204"/>
      <c r="B422" s="214" t="s">
        <v>1017</v>
      </c>
      <c r="C422" s="206"/>
      <c r="D422" s="240">
        <v>10310866</v>
      </c>
      <c r="E422" s="207"/>
      <c r="F422" s="201" t="s">
        <v>918</v>
      </c>
      <c r="G422" s="202">
        <v>44900</v>
      </c>
      <c r="H422" s="202">
        <v>44900</v>
      </c>
      <c r="I422" s="150"/>
      <c r="J422" s="202">
        <v>44914</v>
      </c>
      <c r="K422" s="150"/>
      <c r="L422" s="150"/>
      <c r="M422" s="150"/>
      <c r="N422" s="150"/>
      <c r="O422" s="150"/>
      <c r="P422" s="150"/>
      <c r="S422" s="332">
        <f t="shared" si="167"/>
        <v>60</v>
      </c>
      <c r="T422" s="363">
        <v>60</v>
      </c>
      <c r="U422" s="363">
        <v>0</v>
      </c>
      <c r="V422" s="363">
        <v>60</v>
      </c>
      <c r="Z422" s="148" t="s">
        <v>53</v>
      </c>
      <c r="AG422" s="134" t="s">
        <v>85</v>
      </c>
      <c r="AL422" s="148" t="s">
        <v>57</v>
      </c>
      <c r="AR422" s="135">
        <f>COUNTIF(B:B,B422)</f>
        <v>1</v>
      </c>
      <c r="AS422" s="135" t="str">
        <f t="shared" si="168"/>
        <v>2022_12_05_a</v>
      </c>
      <c r="AT422" s="136"/>
      <c r="AU422" s="135" t="str">
        <f t="shared" si="169"/>
        <v>2022</v>
      </c>
      <c r="AV422" s="135" t="str">
        <f t="shared" si="170"/>
        <v>12</v>
      </c>
      <c r="AW422" s="135" t="str">
        <f t="shared" si="171"/>
        <v>05</v>
      </c>
      <c r="AX422" s="135">
        <f t="shared" si="172"/>
        <v>44900</v>
      </c>
      <c r="AY422" s="137"/>
      <c r="AZ422" s="138">
        <f t="shared" si="173"/>
        <v>44900</v>
      </c>
      <c r="BA422" s="135" t="b">
        <f t="shared" si="174"/>
        <v>1</v>
      </c>
      <c r="BB422" s="135">
        <f t="shared" si="175"/>
        <v>44900</v>
      </c>
      <c r="BC422" s="135" t="str">
        <f t="shared" si="176"/>
        <v>no</v>
      </c>
      <c r="BD422" s="135" t="b">
        <f t="shared" si="177"/>
        <v>0</v>
      </c>
      <c r="BE422" s="139" t="s">
        <v>59</v>
      </c>
      <c r="BF422" s="130"/>
    </row>
    <row r="423" spans="1:59" s="148" customFormat="1" ht="24" customHeight="1">
      <c r="A423" s="204"/>
      <c r="B423" s="214" t="s">
        <v>1018</v>
      </c>
      <c r="C423" s="206"/>
      <c r="D423" s="240"/>
      <c r="E423" s="207"/>
      <c r="F423" s="201" t="s">
        <v>918</v>
      </c>
      <c r="G423" s="202">
        <v>44942</v>
      </c>
      <c r="H423" s="202">
        <v>44942</v>
      </c>
      <c r="I423" s="150"/>
      <c r="J423" s="202">
        <v>44942</v>
      </c>
      <c r="K423" s="150"/>
      <c r="L423" s="150"/>
      <c r="M423" s="150"/>
      <c r="N423" s="150"/>
      <c r="O423" s="150"/>
      <c r="P423" s="150"/>
      <c r="S423" s="332">
        <f t="shared" si="167"/>
        <v>3</v>
      </c>
      <c r="T423" s="363">
        <v>3</v>
      </c>
      <c r="U423" s="363">
        <v>0</v>
      </c>
      <c r="V423" s="363">
        <v>3</v>
      </c>
      <c r="Z423" s="148" t="s">
        <v>53</v>
      </c>
      <c r="AG423" s="134" t="s">
        <v>85</v>
      </c>
      <c r="AH423" s="148" t="s">
        <v>86</v>
      </c>
      <c r="AL423" s="148" t="s">
        <v>57</v>
      </c>
      <c r="AR423" s="135">
        <f>COUNTIF(B:B,B423)</f>
        <v>1</v>
      </c>
      <c r="AS423" s="135" t="str">
        <f t="shared" ref="AS423" si="179">IFERROR(RIGHT(B423,16-SEARCH("_", B423)),0)</f>
        <v>2023_01_16_a</v>
      </c>
      <c r="AT423" s="136"/>
      <c r="AU423" s="135" t="str">
        <f t="shared" ref="AU423" si="180">LEFT(AS423,4)</f>
        <v>2023</v>
      </c>
      <c r="AV423" s="135" t="str">
        <f t="shared" ref="AV423" si="181">MID(AS423,6,2)</f>
        <v>01</v>
      </c>
      <c r="AW423" s="135" t="str">
        <f t="shared" ref="AW423" si="182">MID(AS423,9,2)</f>
        <v>16</v>
      </c>
      <c r="AX423" s="135">
        <f t="shared" ref="AX423" si="183">IFERROR(DATE(AU423,AV423,AW423)," ")</f>
        <v>44942</v>
      </c>
      <c r="AY423" s="137"/>
      <c r="AZ423" s="138">
        <f t="shared" ref="AZ423" si="184">H423</f>
        <v>44942</v>
      </c>
      <c r="BA423" s="135" t="b">
        <f t="shared" ref="BA423" si="185">IF(AX423=" "," ",AX423=AZ423)</f>
        <v>1</v>
      </c>
      <c r="BB423" s="135">
        <f t="shared" ref="BB423" si="186">IF(BC423="YES"," ",AZ423)</f>
        <v>44942</v>
      </c>
      <c r="BC423" s="135" t="str">
        <f t="shared" ref="BC423" si="187">IF(AM423="Apprentice","yes","no")</f>
        <v>no</v>
      </c>
      <c r="BD423" s="135" t="b">
        <f t="shared" ref="BD423" si="188">IF(OR(U423&lt;&gt;"0", V423&lt;&gt;"0"),U423=V423," ")</f>
        <v>0</v>
      </c>
      <c r="BE423" s="139" t="s">
        <v>59</v>
      </c>
      <c r="BF423" s="130"/>
    </row>
    <row r="424" spans="1:59" s="197" customFormat="1" ht="24" customHeight="1">
      <c r="A424" s="216"/>
      <c r="B424" s="217" t="s">
        <v>1019</v>
      </c>
      <c r="C424" s="218"/>
      <c r="D424" s="405" t="s">
        <v>1020</v>
      </c>
      <c r="E424" s="219"/>
      <c r="F424" s="152" t="s">
        <v>918</v>
      </c>
      <c r="G424" s="220">
        <v>44963</v>
      </c>
      <c r="H424" s="220">
        <v>44963</v>
      </c>
      <c r="I424" s="221"/>
      <c r="J424" s="220">
        <v>44977</v>
      </c>
      <c r="K424" s="221"/>
      <c r="L424" s="221"/>
      <c r="M424" s="221"/>
      <c r="N424" s="221"/>
      <c r="O424" s="221"/>
      <c r="P424" s="221"/>
      <c r="S424" s="332">
        <f t="shared" si="167"/>
        <v>1</v>
      </c>
      <c r="T424" s="406">
        <v>1</v>
      </c>
      <c r="U424" s="406">
        <v>0</v>
      </c>
      <c r="V424" s="406">
        <v>1</v>
      </c>
      <c r="Z424" s="197" t="s">
        <v>53</v>
      </c>
      <c r="AG424" s="197" t="s">
        <v>85</v>
      </c>
      <c r="AH424" s="197" t="s">
        <v>86</v>
      </c>
      <c r="AL424" s="197" t="s">
        <v>57</v>
      </c>
      <c r="AR424" s="407">
        <f>COUNTIF(B:B,B424)</f>
        <v>1</v>
      </c>
      <c r="AS424" s="407" t="str">
        <f t="shared" ref="AS424:AS426" si="189">IFERROR(RIGHT(B424,16-SEARCH("_", B424)),0)</f>
        <v>2023_02_06_a</v>
      </c>
      <c r="AT424" s="81"/>
      <c r="AU424" s="407" t="str">
        <f t="shared" ref="AU424:AU426" si="190">LEFT(AS424,4)</f>
        <v>2023</v>
      </c>
      <c r="AV424" s="407" t="str">
        <f t="shared" ref="AV424:AV426" si="191">MID(AS424,6,2)</f>
        <v>02</v>
      </c>
      <c r="AW424" s="407" t="str">
        <f t="shared" ref="AW424:AW426" si="192">MID(AS424,9,2)</f>
        <v>06</v>
      </c>
      <c r="AX424" s="407">
        <f t="shared" ref="AX424:AX426" si="193">IFERROR(DATE(AU424,AV424,AW424)," ")</f>
        <v>44963</v>
      </c>
      <c r="AY424" s="408"/>
      <c r="AZ424" s="409">
        <f t="shared" ref="AZ424:AZ426" si="194">H424</f>
        <v>44963</v>
      </c>
      <c r="BA424" s="407" t="b">
        <f t="shared" ref="BA424:BA426" si="195">IF(AX424=" "," ",AX424=AZ424)</f>
        <v>1</v>
      </c>
      <c r="BB424" s="407">
        <f t="shared" ref="BB424:BB426" si="196">IF(BC424="YES"," ",AZ424)</f>
        <v>44963</v>
      </c>
      <c r="BC424" s="407" t="str">
        <f t="shared" ref="BC424:BC426" si="197">IF(AM424="Apprentice","yes","no")</f>
        <v>no</v>
      </c>
      <c r="BD424" s="407" t="b">
        <f t="shared" ref="BD424:BD426" si="198">IF(OR(U424&lt;&gt;"0", V424&lt;&gt;"0"),U424=V424," ")</f>
        <v>0</v>
      </c>
      <c r="BE424" s="410" t="s">
        <v>59</v>
      </c>
    </row>
    <row r="425" spans="1:59" s="197" customFormat="1" ht="24" customHeight="1">
      <c r="A425" s="216"/>
      <c r="B425" s="217" t="s">
        <v>1021</v>
      </c>
      <c r="C425" s="218"/>
      <c r="D425" s="405" t="s">
        <v>1020</v>
      </c>
      <c r="E425" s="219"/>
      <c r="F425" s="152" t="s">
        <v>918</v>
      </c>
      <c r="G425" s="220">
        <v>44970</v>
      </c>
      <c r="H425" s="220">
        <v>44970</v>
      </c>
      <c r="I425" s="221"/>
      <c r="J425" s="220">
        <v>44984</v>
      </c>
      <c r="K425" s="221"/>
      <c r="L425" s="221"/>
      <c r="M425" s="221"/>
      <c r="N425" s="221"/>
      <c r="O425" s="221"/>
      <c r="P425" s="221"/>
      <c r="S425" s="342">
        <v>12</v>
      </c>
      <c r="T425" s="406">
        <v>12</v>
      </c>
      <c r="U425" s="406">
        <v>0</v>
      </c>
      <c r="V425" s="406">
        <v>12</v>
      </c>
      <c r="Z425" s="197" t="s">
        <v>53</v>
      </c>
      <c r="AG425" s="197" t="s">
        <v>85</v>
      </c>
      <c r="AH425" s="197" t="s">
        <v>283</v>
      </c>
      <c r="AL425" s="197" t="s">
        <v>57</v>
      </c>
      <c r="AR425" s="407">
        <f>COUNTIF(B:B,B425)</f>
        <v>1</v>
      </c>
      <c r="AS425" s="407" t="str">
        <f t="shared" si="189"/>
        <v>2023_02_13_a</v>
      </c>
      <c r="AT425" s="81"/>
      <c r="AU425" s="407" t="str">
        <f t="shared" si="190"/>
        <v>2023</v>
      </c>
      <c r="AV425" s="407" t="str">
        <f t="shared" si="191"/>
        <v>02</v>
      </c>
      <c r="AW425" s="407" t="str">
        <f t="shared" si="192"/>
        <v>13</v>
      </c>
      <c r="AX425" s="407">
        <f t="shared" si="193"/>
        <v>44970</v>
      </c>
      <c r="AY425" s="408"/>
      <c r="AZ425" s="409">
        <f t="shared" si="194"/>
        <v>44970</v>
      </c>
      <c r="BA425" s="407" t="b">
        <f t="shared" si="195"/>
        <v>1</v>
      </c>
      <c r="BB425" s="407">
        <f t="shared" si="196"/>
        <v>44970</v>
      </c>
      <c r="BC425" s="407" t="str">
        <f t="shared" si="197"/>
        <v>no</v>
      </c>
      <c r="BD425" s="407" t="b">
        <f t="shared" si="198"/>
        <v>0</v>
      </c>
      <c r="BE425" s="410" t="s">
        <v>59</v>
      </c>
    </row>
    <row r="426" spans="1:59" s="197" customFormat="1" ht="24" customHeight="1">
      <c r="A426" s="216"/>
      <c r="B426" s="217" t="s">
        <v>1022</v>
      </c>
      <c r="C426" s="218"/>
      <c r="D426" s="405" t="s">
        <v>1020</v>
      </c>
      <c r="E426" s="219"/>
      <c r="F426" s="152" t="s">
        <v>918</v>
      </c>
      <c r="G426" s="220">
        <v>44984</v>
      </c>
      <c r="H426" s="220">
        <v>44984</v>
      </c>
      <c r="I426" s="221"/>
      <c r="J426" s="220">
        <v>44998</v>
      </c>
      <c r="K426" s="221"/>
      <c r="L426" s="221"/>
      <c r="M426" s="221"/>
      <c r="N426" s="221"/>
      <c r="O426" s="221"/>
      <c r="P426" s="221"/>
      <c r="S426" s="342">
        <v>10</v>
      </c>
      <c r="T426" s="406">
        <v>10</v>
      </c>
      <c r="U426" s="406">
        <v>0</v>
      </c>
      <c r="V426" s="406">
        <v>10</v>
      </c>
      <c r="Z426" s="197" t="s">
        <v>53</v>
      </c>
      <c r="AG426" s="197" t="s">
        <v>1023</v>
      </c>
      <c r="AH426" s="197" t="s">
        <v>56</v>
      </c>
      <c r="AL426" s="197" t="s">
        <v>57</v>
      </c>
      <c r="AR426" s="135">
        <f>COUNTIF(B:B,B426)</f>
        <v>1</v>
      </c>
      <c r="AS426" s="135" t="str">
        <f t="shared" si="189"/>
        <v>2023_02_27_a</v>
      </c>
      <c r="AT426" s="136"/>
      <c r="AU426" s="135" t="str">
        <f t="shared" si="190"/>
        <v>2023</v>
      </c>
      <c r="AV426" s="135" t="str">
        <f t="shared" si="191"/>
        <v>02</v>
      </c>
      <c r="AW426" s="135" t="str">
        <f t="shared" si="192"/>
        <v>27</v>
      </c>
      <c r="AX426" s="135">
        <f t="shared" si="193"/>
        <v>44984</v>
      </c>
      <c r="AY426" s="137"/>
      <c r="AZ426" s="138">
        <f t="shared" si="194"/>
        <v>44984</v>
      </c>
      <c r="BA426" s="135" t="b">
        <f t="shared" si="195"/>
        <v>1</v>
      </c>
      <c r="BB426" s="135">
        <f t="shared" si="196"/>
        <v>44984</v>
      </c>
      <c r="BC426" s="135" t="str">
        <f t="shared" si="197"/>
        <v>no</v>
      </c>
      <c r="BD426" s="135" t="b">
        <f t="shared" si="198"/>
        <v>0</v>
      </c>
      <c r="BE426" s="139" t="s">
        <v>59</v>
      </c>
    </row>
    <row r="427" spans="1:59" s="146" customFormat="1" ht="24" customHeight="1">
      <c r="A427" s="198" t="s">
        <v>1024</v>
      </c>
      <c r="B427" s="222" t="s">
        <v>1025</v>
      </c>
      <c r="C427" s="223" t="s">
        <v>1026</v>
      </c>
      <c r="D427" s="227">
        <v>10077692</v>
      </c>
      <c r="E427" s="224" t="s">
        <v>80</v>
      </c>
      <c r="F427" s="224" t="s">
        <v>1027</v>
      </c>
      <c r="G427" s="199" t="s">
        <v>1028</v>
      </c>
      <c r="H427" s="225">
        <v>43864</v>
      </c>
      <c r="I427" s="210">
        <v>43875</v>
      </c>
      <c r="J427" s="225">
        <v>44069</v>
      </c>
      <c r="K427" s="210">
        <v>44071</v>
      </c>
      <c r="L427" s="210">
        <v>43919</v>
      </c>
      <c r="M427" s="210" t="s">
        <v>48</v>
      </c>
      <c r="N427" s="210" t="s">
        <v>48</v>
      </c>
      <c r="O427" s="210" t="s">
        <v>48</v>
      </c>
      <c r="P427" s="210" t="s">
        <v>48</v>
      </c>
      <c r="Q427" s="199" t="s">
        <v>49</v>
      </c>
      <c r="R427" s="199" t="s">
        <v>1029</v>
      </c>
      <c r="S427" s="332">
        <f t="shared" si="167"/>
        <v>17</v>
      </c>
      <c r="T427" s="362">
        <v>17</v>
      </c>
      <c r="U427" s="362">
        <v>17</v>
      </c>
      <c r="V427" s="362">
        <v>0</v>
      </c>
      <c r="W427" s="199" t="s">
        <v>1030</v>
      </c>
      <c r="X427" s="199"/>
      <c r="Y427" s="199"/>
      <c r="Z427" s="199" t="s">
        <v>52</v>
      </c>
      <c r="AA427" s="199" t="s">
        <v>53</v>
      </c>
      <c r="AB427" s="199" t="s">
        <v>52</v>
      </c>
      <c r="AC427" s="199" t="s">
        <v>48</v>
      </c>
      <c r="AD427" s="199" t="s">
        <v>52</v>
      </c>
      <c r="AE427" s="146" t="s">
        <v>54</v>
      </c>
      <c r="AF427" s="146" t="s">
        <v>54</v>
      </c>
      <c r="AG427" s="134" t="s">
        <v>85</v>
      </c>
      <c r="AH427" s="199" t="s">
        <v>56</v>
      </c>
      <c r="AI427" s="199" t="s">
        <v>48</v>
      </c>
      <c r="AJ427" s="199"/>
      <c r="AK427" s="199">
        <v>21</v>
      </c>
      <c r="AL427" s="199" t="s">
        <v>57</v>
      </c>
      <c r="AM427" s="199"/>
      <c r="AN427" s="199"/>
      <c r="AO427" s="199"/>
      <c r="AP427" s="199"/>
      <c r="AQ427" s="199"/>
      <c r="AR427" s="135">
        <f>COUNTIF(B:B,B427)</f>
        <v>1</v>
      </c>
      <c r="AS427" s="135" t="str">
        <f t="shared" si="168"/>
        <v>2020_02_03_a</v>
      </c>
      <c r="AT427" s="136"/>
      <c r="AU427" s="135" t="str">
        <f t="shared" si="169"/>
        <v>2020</v>
      </c>
      <c r="AV427" s="135" t="str">
        <f t="shared" si="170"/>
        <v>02</v>
      </c>
      <c r="AW427" s="135" t="str">
        <f t="shared" si="171"/>
        <v>03</v>
      </c>
      <c r="AX427" s="135">
        <f t="shared" si="172"/>
        <v>43864</v>
      </c>
      <c r="AY427" s="137"/>
      <c r="AZ427" s="138">
        <f t="shared" si="173"/>
        <v>43864</v>
      </c>
      <c r="BA427" s="135" t="b">
        <f t="shared" si="174"/>
        <v>1</v>
      </c>
      <c r="BB427" s="135">
        <f t="shared" si="175"/>
        <v>43864</v>
      </c>
      <c r="BC427" s="135" t="str">
        <f t="shared" si="176"/>
        <v>no</v>
      </c>
      <c r="BD427" s="135" t="b">
        <f t="shared" si="177"/>
        <v>0</v>
      </c>
      <c r="BE427" s="139" t="s">
        <v>59</v>
      </c>
      <c r="BF427" s="130"/>
      <c r="BG427" s="199"/>
    </row>
    <row r="428" spans="1:59" s="199" customFormat="1" ht="24" customHeight="1">
      <c r="A428" s="198" t="s">
        <v>1031</v>
      </c>
      <c r="B428" s="198" t="s">
        <v>1032</v>
      </c>
      <c r="C428" s="148" t="s">
        <v>1033</v>
      </c>
      <c r="D428" s="240">
        <v>10074880</v>
      </c>
      <c r="E428" s="148"/>
      <c r="F428" s="226" t="s">
        <v>1027</v>
      </c>
      <c r="G428" s="134" t="s">
        <v>1034</v>
      </c>
      <c r="H428" s="208">
        <v>43892</v>
      </c>
      <c r="I428" s="209">
        <v>43903</v>
      </c>
      <c r="J428" s="208">
        <f>WORKDAY(H428,10)</f>
        <v>43906</v>
      </c>
      <c r="K428" s="209">
        <v>43945</v>
      </c>
      <c r="L428" s="209">
        <v>43947</v>
      </c>
      <c r="M428" s="209" t="s">
        <v>48</v>
      </c>
      <c r="N428" s="209" t="s">
        <v>48</v>
      </c>
      <c r="O428" s="209" t="s">
        <v>48</v>
      </c>
      <c r="P428" s="209" t="s">
        <v>48</v>
      </c>
      <c r="Q428" s="134" t="s">
        <v>49</v>
      </c>
      <c r="R428" s="134" t="s">
        <v>1029</v>
      </c>
      <c r="S428" s="332">
        <f t="shared" si="167"/>
        <v>18</v>
      </c>
      <c r="T428" s="363">
        <v>18</v>
      </c>
      <c r="U428" s="363">
        <v>18</v>
      </c>
      <c r="V428" s="363">
        <v>0</v>
      </c>
      <c r="W428" s="134" t="s">
        <v>1030</v>
      </c>
      <c r="X428" s="147"/>
      <c r="Y428" s="147"/>
      <c r="Z428" s="134" t="s">
        <v>52</v>
      </c>
      <c r="AA428" s="134" t="s">
        <v>53</v>
      </c>
      <c r="AB428" s="134" t="s">
        <v>52</v>
      </c>
      <c r="AC428" s="134" t="s">
        <v>48</v>
      </c>
      <c r="AD428" s="134" t="s">
        <v>52</v>
      </c>
      <c r="AE428" s="130" t="s">
        <v>54</v>
      </c>
      <c r="AF428" s="130" t="s">
        <v>54</v>
      </c>
      <c r="AG428" s="134" t="s">
        <v>85</v>
      </c>
      <c r="AH428" s="148" t="s">
        <v>56</v>
      </c>
      <c r="AI428" s="148" t="s">
        <v>48</v>
      </c>
      <c r="AJ428" s="148"/>
      <c r="AK428" s="148" t="s">
        <v>1035</v>
      </c>
      <c r="AL428" s="148" t="s">
        <v>57</v>
      </c>
      <c r="AM428" s="148"/>
      <c r="AN428" s="148" t="s">
        <v>1036</v>
      </c>
      <c r="AO428" s="148"/>
      <c r="AP428" s="148"/>
      <c r="AQ428" s="148"/>
      <c r="AR428" s="135">
        <f>COUNTIF(B:B,B428)</f>
        <v>1</v>
      </c>
      <c r="AS428" s="135" t="str">
        <f t="shared" si="168"/>
        <v>2020_03_02_a</v>
      </c>
      <c r="AT428" s="136"/>
      <c r="AU428" s="135" t="str">
        <f t="shared" si="169"/>
        <v>2020</v>
      </c>
      <c r="AV428" s="135" t="str">
        <f t="shared" si="170"/>
        <v>03</v>
      </c>
      <c r="AW428" s="135" t="str">
        <f t="shared" si="171"/>
        <v>02</v>
      </c>
      <c r="AX428" s="135">
        <f t="shared" si="172"/>
        <v>43892</v>
      </c>
      <c r="AY428" s="137"/>
      <c r="AZ428" s="138">
        <f t="shared" si="173"/>
        <v>43892</v>
      </c>
      <c r="BA428" s="135" t="b">
        <f t="shared" si="174"/>
        <v>1</v>
      </c>
      <c r="BB428" s="135">
        <f t="shared" si="175"/>
        <v>43892</v>
      </c>
      <c r="BC428" s="135" t="str">
        <f t="shared" si="176"/>
        <v>no</v>
      </c>
      <c r="BD428" s="135" t="b">
        <f t="shared" si="177"/>
        <v>0</v>
      </c>
      <c r="BE428" s="139" t="s">
        <v>59</v>
      </c>
      <c r="BF428" s="130"/>
      <c r="BG428" s="148"/>
    </row>
    <row r="429" spans="1:59" s="148" customFormat="1" ht="24" customHeight="1">
      <c r="A429" s="198" t="s">
        <v>1037</v>
      </c>
      <c r="B429" s="198" t="s">
        <v>1038</v>
      </c>
      <c r="C429" s="148" t="s">
        <v>1039</v>
      </c>
      <c r="D429" s="240">
        <v>10080616</v>
      </c>
      <c r="F429" s="226" t="s">
        <v>1027</v>
      </c>
      <c r="G429" s="134" t="s">
        <v>1040</v>
      </c>
      <c r="H429" s="208">
        <v>43941</v>
      </c>
      <c r="I429" s="209">
        <v>43945</v>
      </c>
      <c r="J429" s="208">
        <v>43948</v>
      </c>
      <c r="K429" s="209">
        <v>43990</v>
      </c>
      <c r="L429" s="209">
        <v>43993</v>
      </c>
      <c r="M429" s="209">
        <v>44032</v>
      </c>
      <c r="N429" s="209">
        <v>44036</v>
      </c>
      <c r="O429" s="209" t="s">
        <v>48</v>
      </c>
      <c r="P429" s="209" t="s">
        <v>48</v>
      </c>
      <c r="Q429" s="134" t="s">
        <v>82</v>
      </c>
      <c r="R429" s="134" t="s">
        <v>1029</v>
      </c>
      <c r="S429" s="332">
        <f t="shared" si="167"/>
        <v>10</v>
      </c>
      <c r="T429" s="363">
        <v>10</v>
      </c>
      <c r="U429" s="363">
        <v>10</v>
      </c>
      <c r="V429" s="363">
        <v>0</v>
      </c>
      <c r="W429" s="134" t="s">
        <v>1030</v>
      </c>
      <c r="X429" s="147"/>
      <c r="Y429" s="147"/>
      <c r="Z429" s="134" t="s">
        <v>52</v>
      </c>
      <c r="AA429" s="134" t="s">
        <v>53</v>
      </c>
      <c r="AB429" s="134" t="s">
        <v>52</v>
      </c>
      <c r="AC429" s="134" t="s">
        <v>52</v>
      </c>
      <c r="AD429" s="134" t="s">
        <v>52</v>
      </c>
      <c r="AE429" s="130" t="s">
        <v>54</v>
      </c>
      <c r="AF429" s="130" t="s">
        <v>54</v>
      </c>
      <c r="AG429" s="134" t="s">
        <v>85</v>
      </c>
      <c r="AH429" s="134" t="s">
        <v>86</v>
      </c>
      <c r="AI429" s="134" t="s">
        <v>86</v>
      </c>
      <c r="AK429" s="148">
        <v>63</v>
      </c>
      <c r="AL429" s="148" t="s">
        <v>1041</v>
      </c>
      <c r="AR429" s="135">
        <f>COUNTIF(B:B,B429)</f>
        <v>1</v>
      </c>
      <c r="AS429" s="135" t="str">
        <f t="shared" si="168"/>
        <v>2020_04_20_a</v>
      </c>
      <c r="AT429" s="136"/>
      <c r="AU429" s="135" t="str">
        <f t="shared" si="169"/>
        <v>2020</v>
      </c>
      <c r="AV429" s="135" t="str">
        <f t="shared" si="170"/>
        <v>04</v>
      </c>
      <c r="AW429" s="135" t="str">
        <f t="shared" si="171"/>
        <v>20</v>
      </c>
      <c r="AX429" s="135">
        <f t="shared" si="172"/>
        <v>43941</v>
      </c>
      <c r="AY429" s="137"/>
      <c r="AZ429" s="138">
        <f t="shared" si="173"/>
        <v>43941</v>
      </c>
      <c r="BA429" s="135" t="b">
        <f t="shared" si="174"/>
        <v>1</v>
      </c>
      <c r="BB429" s="135">
        <f t="shared" si="175"/>
        <v>43941</v>
      </c>
      <c r="BC429" s="135" t="str">
        <f t="shared" si="176"/>
        <v>no</v>
      </c>
      <c r="BD429" s="135" t="b">
        <f t="shared" si="177"/>
        <v>0</v>
      </c>
      <c r="BE429" s="139" t="s">
        <v>59</v>
      </c>
      <c r="BF429" s="130"/>
    </row>
    <row r="430" spans="1:59" s="148" customFormat="1" ht="24" customHeight="1">
      <c r="A430" s="198" t="s">
        <v>1042</v>
      </c>
      <c r="B430" s="198" t="s">
        <v>1043</v>
      </c>
      <c r="D430" s="240">
        <v>10085387</v>
      </c>
      <c r="F430" s="226" t="s">
        <v>1027</v>
      </c>
      <c r="G430" s="134" t="s">
        <v>1044</v>
      </c>
      <c r="H430" s="208">
        <v>44025</v>
      </c>
      <c r="I430" s="209">
        <v>44036</v>
      </c>
      <c r="J430" s="208">
        <v>44039</v>
      </c>
      <c r="K430" s="209">
        <v>44078</v>
      </c>
      <c r="L430" s="209">
        <v>44081</v>
      </c>
      <c r="M430" s="209" t="s">
        <v>48</v>
      </c>
      <c r="N430" s="209" t="s">
        <v>48</v>
      </c>
      <c r="O430" s="209" t="s">
        <v>48</v>
      </c>
      <c r="P430" s="209" t="s">
        <v>48</v>
      </c>
      <c r="Q430" s="134" t="s">
        <v>82</v>
      </c>
      <c r="R430" s="134" t="s">
        <v>1029</v>
      </c>
      <c r="S430" s="332">
        <f t="shared" si="167"/>
        <v>16</v>
      </c>
      <c r="T430" s="363">
        <v>16</v>
      </c>
      <c r="U430" s="363">
        <v>16</v>
      </c>
      <c r="V430" s="363">
        <v>0</v>
      </c>
      <c r="W430" s="134" t="s">
        <v>1030</v>
      </c>
      <c r="X430" s="147"/>
      <c r="Y430" s="147"/>
      <c r="Z430" s="134" t="s">
        <v>52</v>
      </c>
      <c r="AA430" s="134" t="s">
        <v>53</v>
      </c>
      <c r="AB430" s="134" t="s">
        <v>52</v>
      </c>
      <c r="AC430" s="134" t="s">
        <v>48</v>
      </c>
      <c r="AD430" s="134" t="s">
        <v>52</v>
      </c>
      <c r="AE430" s="130" t="s">
        <v>54</v>
      </c>
      <c r="AF430" s="130" t="s">
        <v>54</v>
      </c>
      <c r="AG430" s="134" t="s">
        <v>85</v>
      </c>
      <c r="AH430" s="134" t="s">
        <v>86</v>
      </c>
      <c r="AI430" s="148" t="s">
        <v>48</v>
      </c>
      <c r="AL430" s="148" t="s">
        <v>57</v>
      </c>
      <c r="AR430" s="135">
        <f>COUNTIF(B:B,B430)</f>
        <v>1</v>
      </c>
      <c r="AS430" s="135" t="str">
        <f t="shared" si="168"/>
        <v>2020_07_13_a</v>
      </c>
      <c r="AT430" s="136"/>
      <c r="AU430" s="135" t="str">
        <f t="shared" si="169"/>
        <v>2020</v>
      </c>
      <c r="AV430" s="135" t="str">
        <f t="shared" si="170"/>
        <v>07</v>
      </c>
      <c r="AW430" s="135" t="str">
        <f t="shared" si="171"/>
        <v>13</v>
      </c>
      <c r="AX430" s="135">
        <f t="shared" si="172"/>
        <v>44025</v>
      </c>
      <c r="AY430" s="137"/>
      <c r="AZ430" s="138">
        <f t="shared" si="173"/>
        <v>44025</v>
      </c>
      <c r="BA430" s="135" t="b">
        <f t="shared" si="174"/>
        <v>1</v>
      </c>
      <c r="BB430" s="135">
        <f t="shared" si="175"/>
        <v>44025</v>
      </c>
      <c r="BC430" s="135" t="str">
        <f t="shared" si="176"/>
        <v>no</v>
      </c>
      <c r="BD430" s="135" t="b">
        <f t="shared" si="177"/>
        <v>0</v>
      </c>
      <c r="BE430" s="139" t="s">
        <v>59</v>
      </c>
      <c r="BF430" s="130"/>
    </row>
    <row r="431" spans="1:59" s="148" customFormat="1" ht="24" customHeight="1">
      <c r="A431" s="148" t="s">
        <v>1045</v>
      </c>
      <c r="B431" s="198" t="s">
        <v>1046</v>
      </c>
      <c r="D431" s="366">
        <v>10089548</v>
      </c>
      <c r="F431" s="226" t="s">
        <v>1027</v>
      </c>
      <c r="G431" s="134" t="s">
        <v>1047</v>
      </c>
      <c r="H431" s="208">
        <v>44123</v>
      </c>
      <c r="I431" s="209">
        <v>44134</v>
      </c>
      <c r="J431" s="208">
        <f>WORKDAY(H431,10)</f>
        <v>44137</v>
      </c>
      <c r="K431" s="209">
        <v>44176</v>
      </c>
      <c r="L431" s="209">
        <v>44179</v>
      </c>
      <c r="M431" s="209" t="s">
        <v>48</v>
      </c>
      <c r="N431" s="209" t="s">
        <v>48</v>
      </c>
      <c r="O431" s="209" t="s">
        <v>48</v>
      </c>
      <c r="P431" s="209" t="s">
        <v>48</v>
      </c>
      <c r="Q431" s="134" t="s">
        <v>106</v>
      </c>
      <c r="R431" s="134" t="s">
        <v>1029</v>
      </c>
      <c r="S431" s="332">
        <f t="shared" si="167"/>
        <v>30</v>
      </c>
      <c r="T431" s="363">
        <v>30</v>
      </c>
      <c r="U431" s="363">
        <v>30</v>
      </c>
      <c r="V431" s="363">
        <v>0</v>
      </c>
      <c r="W431" s="134" t="s">
        <v>1030</v>
      </c>
      <c r="X431" s="147"/>
      <c r="Y431" s="147"/>
      <c r="Z431" s="134" t="s">
        <v>52</v>
      </c>
      <c r="AA431" s="134" t="s">
        <v>53</v>
      </c>
      <c r="AB431" s="134" t="s">
        <v>52</v>
      </c>
      <c r="AC431" s="134" t="s">
        <v>48</v>
      </c>
      <c r="AD431" s="134" t="s">
        <v>53</v>
      </c>
      <c r="AE431" s="130" t="s">
        <v>54</v>
      </c>
      <c r="AF431" s="130" t="s">
        <v>54</v>
      </c>
      <c r="AG431" s="134" t="s">
        <v>85</v>
      </c>
      <c r="AH431" s="134" t="s">
        <v>86</v>
      </c>
      <c r="AI431" s="148" t="s">
        <v>48</v>
      </c>
      <c r="AL431" s="148" t="s">
        <v>57</v>
      </c>
      <c r="AR431" s="135">
        <f>COUNTIF(B:B,B431)</f>
        <v>1</v>
      </c>
      <c r="AS431" s="135" t="str">
        <f t="shared" si="168"/>
        <v>2020_10_19_a</v>
      </c>
      <c r="AT431" s="136"/>
      <c r="AU431" s="135" t="str">
        <f t="shared" si="169"/>
        <v>2020</v>
      </c>
      <c r="AV431" s="135" t="str">
        <f t="shared" si="170"/>
        <v>10</v>
      </c>
      <c r="AW431" s="135" t="str">
        <f t="shared" si="171"/>
        <v>19</v>
      </c>
      <c r="AX431" s="135">
        <f t="shared" si="172"/>
        <v>44123</v>
      </c>
      <c r="AY431" s="137"/>
      <c r="AZ431" s="138">
        <f t="shared" si="173"/>
        <v>44123</v>
      </c>
      <c r="BA431" s="135" t="b">
        <f t="shared" si="174"/>
        <v>1</v>
      </c>
      <c r="BB431" s="135">
        <f t="shared" si="175"/>
        <v>44123</v>
      </c>
      <c r="BC431" s="135" t="str">
        <f t="shared" si="176"/>
        <v>no</v>
      </c>
      <c r="BD431" s="135" t="b">
        <f t="shared" si="177"/>
        <v>0</v>
      </c>
      <c r="BE431" s="139" t="s">
        <v>59</v>
      </c>
      <c r="BF431" s="130"/>
    </row>
    <row r="432" spans="1:59" s="148" customFormat="1" ht="24" customHeight="1">
      <c r="B432" s="148" t="s">
        <v>1048</v>
      </c>
      <c r="C432" s="204"/>
      <c r="D432" s="214">
        <v>10098111</v>
      </c>
      <c r="E432" s="207"/>
      <c r="F432" s="201" t="s">
        <v>1049</v>
      </c>
      <c r="G432" s="202">
        <v>44270</v>
      </c>
      <c r="H432" s="203">
        <v>44270</v>
      </c>
      <c r="I432" s="202"/>
      <c r="J432" s="203">
        <v>44284</v>
      </c>
      <c r="K432" s="202"/>
      <c r="L432" s="150"/>
      <c r="M432" s="150"/>
      <c r="N432" s="150"/>
      <c r="O432" s="150"/>
      <c r="P432" s="150"/>
      <c r="S432" s="332">
        <f t="shared" si="167"/>
        <v>10</v>
      </c>
      <c r="T432" s="362">
        <v>10</v>
      </c>
      <c r="U432" s="362">
        <v>10</v>
      </c>
      <c r="V432" s="362">
        <v>0</v>
      </c>
      <c r="Z432" s="148" t="s">
        <v>53</v>
      </c>
      <c r="AG432" s="134" t="s">
        <v>85</v>
      </c>
      <c r="AH432" s="134" t="s">
        <v>86</v>
      </c>
      <c r="AL432" s="148" t="s">
        <v>57</v>
      </c>
      <c r="AR432" s="135">
        <f>COUNTIF(B:B,B432)</f>
        <v>1</v>
      </c>
      <c r="AS432" s="135" t="str">
        <f t="shared" si="168"/>
        <v>2021_03_15_a</v>
      </c>
      <c r="AT432" s="136"/>
      <c r="AU432" s="135" t="str">
        <f t="shared" si="169"/>
        <v>2021</v>
      </c>
      <c r="AV432" s="135" t="str">
        <f t="shared" si="170"/>
        <v>03</v>
      </c>
      <c r="AW432" s="135" t="str">
        <f t="shared" si="171"/>
        <v>15</v>
      </c>
      <c r="AX432" s="135">
        <f t="shared" si="172"/>
        <v>44270</v>
      </c>
      <c r="AY432" s="137"/>
      <c r="AZ432" s="138">
        <f t="shared" si="173"/>
        <v>44270</v>
      </c>
      <c r="BA432" s="135" t="b">
        <f t="shared" si="174"/>
        <v>1</v>
      </c>
      <c r="BB432" s="135">
        <f t="shared" si="175"/>
        <v>44270</v>
      </c>
      <c r="BC432" s="135" t="str">
        <f t="shared" si="176"/>
        <v>no</v>
      </c>
      <c r="BD432" s="135" t="b">
        <f t="shared" si="177"/>
        <v>0</v>
      </c>
      <c r="BE432" s="139" t="s">
        <v>59</v>
      </c>
      <c r="BF432" s="130"/>
    </row>
    <row r="433" spans="1:59" s="148" customFormat="1" ht="24" customHeight="1">
      <c r="B433" s="148" t="s">
        <v>1050</v>
      </c>
      <c r="C433" s="204"/>
      <c r="D433" s="214">
        <v>10099420</v>
      </c>
      <c r="E433" s="207"/>
      <c r="F433" s="201" t="s">
        <v>1049</v>
      </c>
      <c r="G433" s="202">
        <v>44319</v>
      </c>
      <c r="H433" s="203">
        <v>44319</v>
      </c>
      <c r="I433" s="150"/>
      <c r="J433" s="203">
        <v>44333</v>
      </c>
      <c r="K433" s="202"/>
      <c r="L433" s="150"/>
      <c r="M433" s="150"/>
      <c r="N433" s="150"/>
      <c r="O433" s="150"/>
      <c r="P433" s="150"/>
      <c r="S433" s="332">
        <f t="shared" si="167"/>
        <v>27</v>
      </c>
      <c r="T433" s="363">
        <v>27</v>
      </c>
      <c r="U433" s="363">
        <v>27</v>
      </c>
      <c r="V433" s="363">
        <v>0</v>
      </c>
      <c r="Z433" s="148" t="s">
        <v>53</v>
      </c>
      <c r="AG433" s="134" t="s">
        <v>85</v>
      </c>
      <c r="AH433" s="134" t="s">
        <v>86</v>
      </c>
      <c r="AL433" s="148" t="s">
        <v>57</v>
      </c>
      <c r="AR433" s="135">
        <f>COUNTIF(B:B,B433)</f>
        <v>1</v>
      </c>
      <c r="AS433" s="135" t="str">
        <f t="shared" si="168"/>
        <v>2021_05_03_a</v>
      </c>
      <c r="AT433" s="136"/>
      <c r="AU433" s="135" t="str">
        <f t="shared" si="169"/>
        <v>2021</v>
      </c>
      <c r="AV433" s="135" t="str">
        <f t="shared" si="170"/>
        <v>05</v>
      </c>
      <c r="AW433" s="135" t="str">
        <f t="shared" si="171"/>
        <v>03</v>
      </c>
      <c r="AX433" s="135">
        <f t="shared" si="172"/>
        <v>44319</v>
      </c>
      <c r="AY433" s="137"/>
      <c r="AZ433" s="138">
        <f t="shared" si="173"/>
        <v>44319</v>
      </c>
      <c r="BA433" s="135" t="b">
        <f t="shared" si="174"/>
        <v>1</v>
      </c>
      <c r="BB433" s="135">
        <f t="shared" si="175"/>
        <v>44319</v>
      </c>
      <c r="BC433" s="135" t="str">
        <f t="shared" si="176"/>
        <v>no</v>
      </c>
      <c r="BD433" s="135" t="b">
        <f t="shared" si="177"/>
        <v>0</v>
      </c>
      <c r="BE433" s="139" t="s">
        <v>59</v>
      </c>
      <c r="BF433" s="130"/>
    </row>
    <row r="434" spans="1:59" s="148" customFormat="1" ht="24" customHeight="1">
      <c r="B434" s="148" t="s">
        <v>1051</v>
      </c>
      <c r="C434" s="204"/>
      <c r="D434" s="214">
        <v>10102268</v>
      </c>
      <c r="E434" s="207"/>
      <c r="F434" s="201" t="s">
        <v>1049</v>
      </c>
      <c r="G434" s="202">
        <v>44389</v>
      </c>
      <c r="H434" s="203">
        <v>44389</v>
      </c>
      <c r="I434" s="150"/>
      <c r="J434" s="203">
        <v>44403</v>
      </c>
      <c r="K434" s="150"/>
      <c r="L434" s="150"/>
      <c r="M434" s="150"/>
      <c r="N434" s="150"/>
      <c r="O434" s="150"/>
      <c r="P434" s="150"/>
      <c r="S434" s="332">
        <f t="shared" ref="S434:S481" si="199">U434+V434</f>
        <v>29</v>
      </c>
      <c r="T434" s="363">
        <v>29</v>
      </c>
      <c r="U434" s="363">
        <v>29</v>
      </c>
      <c r="V434" s="363">
        <v>0</v>
      </c>
      <c r="Z434" s="148" t="s">
        <v>53</v>
      </c>
      <c r="AG434" s="134" t="s">
        <v>85</v>
      </c>
      <c r="AH434" s="134" t="s">
        <v>86</v>
      </c>
      <c r="AL434" s="148" t="s">
        <v>57</v>
      </c>
      <c r="AR434" s="135">
        <f>COUNTIF(B:B,B434)</f>
        <v>1</v>
      </c>
      <c r="AS434" s="135" t="str">
        <f t="shared" si="168"/>
        <v>2021_07_12_a</v>
      </c>
      <c r="AT434" s="136"/>
      <c r="AU434" s="135" t="str">
        <f t="shared" si="169"/>
        <v>2021</v>
      </c>
      <c r="AV434" s="135" t="str">
        <f t="shared" si="170"/>
        <v>07</v>
      </c>
      <c r="AW434" s="135" t="str">
        <f t="shared" si="171"/>
        <v>12</v>
      </c>
      <c r="AX434" s="135">
        <f t="shared" si="172"/>
        <v>44389</v>
      </c>
      <c r="AY434" s="137"/>
      <c r="AZ434" s="138">
        <f t="shared" si="173"/>
        <v>44389</v>
      </c>
      <c r="BA434" s="135" t="b">
        <f t="shared" si="174"/>
        <v>1</v>
      </c>
      <c r="BB434" s="135">
        <f t="shared" si="175"/>
        <v>44389</v>
      </c>
      <c r="BC434" s="135" t="str">
        <f t="shared" si="176"/>
        <v>no</v>
      </c>
      <c r="BD434" s="135" t="b">
        <f t="shared" si="177"/>
        <v>0</v>
      </c>
      <c r="BE434" s="139" t="s">
        <v>59</v>
      </c>
      <c r="BF434" s="130"/>
    </row>
    <row r="435" spans="1:59" s="148" customFormat="1" ht="24" customHeight="1">
      <c r="B435" s="148" t="s">
        <v>1052</v>
      </c>
      <c r="C435" s="204"/>
      <c r="D435" s="214">
        <v>10219773</v>
      </c>
      <c r="E435" s="207"/>
      <c r="F435" s="201" t="s">
        <v>1049</v>
      </c>
      <c r="G435" s="202">
        <v>44494</v>
      </c>
      <c r="H435" s="203">
        <v>44494</v>
      </c>
      <c r="I435" s="150"/>
      <c r="J435" s="203">
        <v>44508</v>
      </c>
      <c r="K435" s="150"/>
      <c r="L435" s="150"/>
      <c r="M435" s="150"/>
      <c r="N435" s="150"/>
      <c r="O435" s="150"/>
      <c r="P435" s="150"/>
      <c r="S435" s="332">
        <f t="shared" si="199"/>
        <v>20</v>
      </c>
      <c r="T435" s="363">
        <v>20</v>
      </c>
      <c r="U435" s="363">
        <v>20</v>
      </c>
      <c r="V435" s="363">
        <v>0</v>
      </c>
      <c r="Z435" s="148" t="s">
        <v>53</v>
      </c>
      <c r="AG435" s="134" t="s">
        <v>85</v>
      </c>
      <c r="AH435" s="134" t="s">
        <v>86</v>
      </c>
      <c r="AL435" s="148" t="s">
        <v>57</v>
      </c>
      <c r="AR435" s="135">
        <f>COUNTIF(B:B,B435)</f>
        <v>1</v>
      </c>
      <c r="AS435" s="135" t="str">
        <f t="shared" si="168"/>
        <v>2021_10_25_a</v>
      </c>
      <c r="AT435" s="136"/>
      <c r="AU435" s="135" t="str">
        <f t="shared" si="169"/>
        <v>2021</v>
      </c>
      <c r="AV435" s="135" t="str">
        <f t="shared" si="170"/>
        <v>10</v>
      </c>
      <c r="AW435" s="135" t="str">
        <f t="shared" si="171"/>
        <v>25</v>
      </c>
      <c r="AX435" s="135">
        <f t="shared" si="172"/>
        <v>44494</v>
      </c>
      <c r="AY435" s="137"/>
      <c r="AZ435" s="138">
        <f t="shared" si="173"/>
        <v>44494</v>
      </c>
      <c r="BA435" s="135" t="b">
        <f t="shared" si="174"/>
        <v>1</v>
      </c>
      <c r="BB435" s="135">
        <f t="shared" si="175"/>
        <v>44494</v>
      </c>
      <c r="BC435" s="135" t="str">
        <f t="shared" si="176"/>
        <v>no</v>
      </c>
      <c r="BD435" s="135" t="b">
        <f t="shared" si="177"/>
        <v>0</v>
      </c>
      <c r="BE435" s="139" t="s">
        <v>59</v>
      </c>
      <c r="BF435" s="130"/>
    </row>
    <row r="436" spans="1:59" s="148" customFormat="1" ht="24" customHeight="1">
      <c r="B436" s="227" t="s">
        <v>1053</v>
      </c>
      <c r="D436" s="227">
        <v>10235799</v>
      </c>
      <c r="F436" s="201" t="s">
        <v>1049</v>
      </c>
      <c r="G436" s="202">
        <v>44627</v>
      </c>
      <c r="H436" s="202">
        <v>44627</v>
      </c>
      <c r="I436" s="150"/>
      <c r="J436" s="202">
        <v>44641</v>
      </c>
      <c r="K436" s="150"/>
      <c r="L436" s="150"/>
      <c r="M436" s="150"/>
      <c r="N436" s="150"/>
      <c r="O436" s="150"/>
      <c r="P436" s="150"/>
      <c r="S436" s="332">
        <f t="shared" si="199"/>
        <v>23</v>
      </c>
      <c r="T436" s="362">
        <v>23</v>
      </c>
      <c r="U436" s="362">
        <v>23</v>
      </c>
      <c r="V436" s="362">
        <v>0</v>
      </c>
      <c r="Z436" s="148" t="s">
        <v>53</v>
      </c>
      <c r="AG436" s="134" t="s">
        <v>85</v>
      </c>
      <c r="AH436" s="134" t="s">
        <v>86</v>
      </c>
      <c r="AL436" s="148" t="s">
        <v>57</v>
      </c>
      <c r="AR436" s="135">
        <f>COUNTIF(B:B,B436)</f>
        <v>1</v>
      </c>
      <c r="AS436" s="135" t="str">
        <f t="shared" si="168"/>
        <v>2022_03_07_a</v>
      </c>
      <c r="AT436" s="136"/>
      <c r="AU436" s="135" t="str">
        <f t="shared" si="169"/>
        <v>2022</v>
      </c>
      <c r="AV436" s="135" t="str">
        <f t="shared" si="170"/>
        <v>03</v>
      </c>
      <c r="AW436" s="135" t="str">
        <f t="shared" si="171"/>
        <v>07</v>
      </c>
      <c r="AX436" s="135">
        <f t="shared" si="172"/>
        <v>44627</v>
      </c>
      <c r="AY436" s="137"/>
      <c r="AZ436" s="138">
        <f t="shared" si="173"/>
        <v>44627</v>
      </c>
      <c r="BA436" s="135" t="b">
        <f t="shared" si="174"/>
        <v>1</v>
      </c>
      <c r="BB436" s="135">
        <f t="shared" si="175"/>
        <v>44627</v>
      </c>
      <c r="BC436" s="135" t="str">
        <f t="shared" si="176"/>
        <v>no</v>
      </c>
      <c r="BD436" s="135" t="b">
        <f t="shared" si="177"/>
        <v>0</v>
      </c>
      <c r="BE436" s="139" t="s">
        <v>59</v>
      </c>
      <c r="BF436" s="130"/>
    </row>
    <row r="437" spans="1:59" s="148" customFormat="1" ht="24" customHeight="1">
      <c r="B437" s="227" t="s">
        <v>1054</v>
      </c>
      <c r="D437" s="364">
        <v>10255304</v>
      </c>
      <c r="F437" s="201" t="s">
        <v>1049</v>
      </c>
      <c r="G437" s="202">
        <v>44690</v>
      </c>
      <c r="H437" s="202">
        <v>44690</v>
      </c>
      <c r="I437" s="150"/>
      <c r="J437" s="202">
        <v>44704</v>
      </c>
      <c r="K437" s="150"/>
      <c r="L437" s="150"/>
      <c r="M437" s="150"/>
      <c r="N437" s="150"/>
      <c r="O437" s="150"/>
      <c r="P437" s="150"/>
      <c r="S437" s="332">
        <f t="shared" si="199"/>
        <v>34</v>
      </c>
      <c r="T437" s="363">
        <v>34</v>
      </c>
      <c r="U437" s="363">
        <v>34</v>
      </c>
      <c r="V437" s="363">
        <v>0</v>
      </c>
      <c r="Z437" s="148" t="s">
        <v>53</v>
      </c>
      <c r="AG437" s="134" t="s">
        <v>85</v>
      </c>
      <c r="AH437" s="134" t="s">
        <v>86</v>
      </c>
      <c r="AL437" s="148" t="s">
        <v>57</v>
      </c>
      <c r="AR437" s="135">
        <f>COUNTIF(B:B,B437)</f>
        <v>1</v>
      </c>
      <c r="AS437" s="135" t="str">
        <f t="shared" si="168"/>
        <v>2022_05_09_a</v>
      </c>
      <c r="AT437" s="136"/>
      <c r="AU437" s="135" t="str">
        <f t="shared" si="169"/>
        <v>2022</v>
      </c>
      <c r="AV437" s="135" t="str">
        <f t="shared" si="170"/>
        <v>05</v>
      </c>
      <c r="AW437" s="135" t="str">
        <f t="shared" si="171"/>
        <v>09</v>
      </c>
      <c r="AX437" s="135">
        <f t="shared" si="172"/>
        <v>44690</v>
      </c>
      <c r="AY437" s="137"/>
      <c r="AZ437" s="138">
        <f t="shared" si="173"/>
        <v>44690</v>
      </c>
      <c r="BA437" s="135" t="b">
        <f t="shared" si="174"/>
        <v>1</v>
      </c>
      <c r="BB437" s="135">
        <f t="shared" si="175"/>
        <v>44690</v>
      </c>
      <c r="BC437" s="135" t="str">
        <f t="shared" si="176"/>
        <v>no</v>
      </c>
      <c r="BD437" s="135" t="b">
        <f t="shared" si="177"/>
        <v>0</v>
      </c>
      <c r="BE437" s="139" t="s">
        <v>59</v>
      </c>
      <c r="BF437" s="130"/>
    </row>
    <row r="438" spans="1:59" s="148" customFormat="1" ht="24" customHeight="1">
      <c r="B438" s="227" t="s">
        <v>1055</v>
      </c>
      <c r="D438" s="364">
        <v>10255373</v>
      </c>
      <c r="F438" s="201" t="s">
        <v>1049</v>
      </c>
      <c r="G438" s="202">
        <v>44725</v>
      </c>
      <c r="H438" s="202">
        <v>44725</v>
      </c>
      <c r="I438" s="150"/>
      <c r="J438" s="202">
        <v>44742</v>
      </c>
      <c r="K438" s="150"/>
      <c r="L438" s="150"/>
      <c r="M438" s="150"/>
      <c r="N438" s="150"/>
      <c r="O438" s="150"/>
      <c r="P438" s="150"/>
      <c r="S438" s="332">
        <f t="shared" si="199"/>
        <v>33</v>
      </c>
      <c r="T438" s="363">
        <v>33</v>
      </c>
      <c r="U438" s="363">
        <v>33</v>
      </c>
      <c r="V438" s="363">
        <v>0</v>
      </c>
      <c r="Z438" s="148" t="s">
        <v>53</v>
      </c>
      <c r="AG438" s="134" t="s">
        <v>85</v>
      </c>
      <c r="AH438" s="134" t="s">
        <v>86</v>
      </c>
      <c r="AL438" s="148" t="s">
        <v>57</v>
      </c>
      <c r="AR438" s="135">
        <f>COUNTIF(B:B,B438)</f>
        <v>1</v>
      </c>
      <c r="AS438" s="135" t="str">
        <f t="shared" si="168"/>
        <v>2022_06_13_a</v>
      </c>
      <c r="AT438" s="136"/>
      <c r="AU438" s="135" t="str">
        <f t="shared" si="169"/>
        <v>2022</v>
      </c>
      <c r="AV438" s="135" t="str">
        <f t="shared" si="170"/>
        <v>06</v>
      </c>
      <c r="AW438" s="135" t="str">
        <f t="shared" si="171"/>
        <v>13</v>
      </c>
      <c r="AX438" s="135">
        <f t="shared" si="172"/>
        <v>44725</v>
      </c>
      <c r="AY438" s="137"/>
      <c r="AZ438" s="138">
        <f t="shared" si="173"/>
        <v>44725</v>
      </c>
      <c r="BA438" s="135" t="b">
        <f t="shared" si="174"/>
        <v>1</v>
      </c>
      <c r="BB438" s="135">
        <f t="shared" si="175"/>
        <v>44725</v>
      </c>
      <c r="BC438" s="135" t="str">
        <f t="shared" si="176"/>
        <v>no</v>
      </c>
      <c r="BD438" s="135" t="b">
        <f t="shared" si="177"/>
        <v>0</v>
      </c>
      <c r="BE438" s="139" t="s">
        <v>59</v>
      </c>
      <c r="BF438" s="130"/>
    </row>
    <row r="439" spans="1:59" s="197" customFormat="1" ht="24" customHeight="1">
      <c r="B439" s="228" t="s">
        <v>1056</v>
      </c>
      <c r="D439" s="364">
        <v>10288100</v>
      </c>
      <c r="F439" s="152" t="s">
        <v>1049</v>
      </c>
      <c r="G439" s="220">
        <v>44781</v>
      </c>
      <c r="H439" s="220">
        <v>44781</v>
      </c>
      <c r="I439" s="221"/>
      <c r="J439" s="220">
        <v>44798</v>
      </c>
      <c r="K439" s="221"/>
      <c r="L439" s="221"/>
      <c r="M439" s="221"/>
      <c r="N439" s="221"/>
      <c r="O439" s="221"/>
      <c r="P439" s="221"/>
      <c r="S439" s="332">
        <f t="shared" si="199"/>
        <v>19</v>
      </c>
      <c r="T439" s="363">
        <v>19</v>
      </c>
      <c r="U439" s="363">
        <v>19</v>
      </c>
      <c r="V439" s="363">
        <v>0</v>
      </c>
      <c r="Z439" s="197" t="s">
        <v>53</v>
      </c>
      <c r="AG439" s="197" t="s">
        <v>85</v>
      </c>
      <c r="AH439" s="197" t="s">
        <v>86</v>
      </c>
      <c r="AL439" s="197" t="s">
        <v>57</v>
      </c>
      <c r="AR439" s="135">
        <f>COUNTIF(B:B,B439)</f>
        <v>1</v>
      </c>
      <c r="AS439" s="135" t="str">
        <f t="shared" si="168"/>
        <v>2022_08_08_a</v>
      </c>
      <c r="AT439" s="136"/>
      <c r="AU439" s="135" t="str">
        <f t="shared" si="169"/>
        <v>2022</v>
      </c>
      <c r="AV439" s="135" t="str">
        <f t="shared" si="170"/>
        <v>08</v>
      </c>
      <c r="AW439" s="135" t="str">
        <f t="shared" si="171"/>
        <v>08</v>
      </c>
      <c r="AX439" s="135">
        <f t="shared" si="172"/>
        <v>44781</v>
      </c>
      <c r="AY439" s="137"/>
      <c r="AZ439" s="138">
        <f t="shared" si="173"/>
        <v>44781</v>
      </c>
      <c r="BA439" s="135" t="b">
        <f t="shared" si="174"/>
        <v>1</v>
      </c>
      <c r="BB439" s="135">
        <f t="shared" si="175"/>
        <v>44781</v>
      </c>
      <c r="BC439" s="135" t="str">
        <f t="shared" si="176"/>
        <v>no</v>
      </c>
      <c r="BD439" s="135" t="b">
        <f t="shared" si="177"/>
        <v>0</v>
      </c>
      <c r="BE439" s="139" t="s">
        <v>59</v>
      </c>
    </row>
    <row r="440" spans="1:59" s="148" customFormat="1" ht="24" customHeight="1">
      <c r="B440" s="227" t="s">
        <v>1057</v>
      </c>
      <c r="D440" s="364">
        <v>10292220</v>
      </c>
      <c r="F440" s="201" t="s">
        <v>1049</v>
      </c>
      <c r="G440" s="202">
        <v>44816</v>
      </c>
      <c r="H440" s="202">
        <v>44816</v>
      </c>
      <c r="I440" s="150"/>
      <c r="J440" s="202">
        <v>44830</v>
      </c>
      <c r="K440" s="150"/>
      <c r="L440" s="150"/>
      <c r="M440" s="150"/>
      <c r="N440" s="150"/>
      <c r="O440" s="150"/>
      <c r="P440" s="150"/>
      <c r="S440" s="332">
        <f t="shared" si="199"/>
        <v>24</v>
      </c>
      <c r="T440" s="363">
        <v>24</v>
      </c>
      <c r="U440" s="363">
        <v>24</v>
      </c>
      <c r="V440" s="363">
        <v>0</v>
      </c>
      <c r="Z440" s="148" t="s">
        <v>53</v>
      </c>
      <c r="AG440" s="134" t="s">
        <v>85</v>
      </c>
      <c r="AH440" s="134" t="s">
        <v>86</v>
      </c>
      <c r="AL440" s="148" t="s">
        <v>57</v>
      </c>
      <c r="AR440" s="135">
        <f>COUNTIF(B:B,B440)</f>
        <v>1</v>
      </c>
      <c r="AS440" s="135" t="str">
        <f t="shared" si="168"/>
        <v>2022_09_12_a</v>
      </c>
      <c r="AT440" s="136"/>
      <c r="AU440" s="135" t="str">
        <f t="shared" si="169"/>
        <v>2022</v>
      </c>
      <c r="AV440" s="135" t="str">
        <f t="shared" si="170"/>
        <v>09</v>
      </c>
      <c r="AW440" s="135" t="str">
        <f t="shared" si="171"/>
        <v>12</v>
      </c>
      <c r="AX440" s="135">
        <f t="shared" si="172"/>
        <v>44816</v>
      </c>
      <c r="AY440" s="137"/>
      <c r="AZ440" s="138">
        <f t="shared" si="173"/>
        <v>44816</v>
      </c>
      <c r="BA440" s="135" t="b">
        <f t="shared" si="174"/>
        <v>1</v>
      </c>
      <c r="BB440" s="135">
        <f t="shared" si="175"/>
        <v>44816</v>
      </c>
      <c r="BC440" s="135" t="str">
        <f t="shared" si="176"/>
        <v>no</v>
      </c>
      <c r="BD440" s="135" t="b">
        <f t="shared" si="177"/>
        <v>0</v>
      </c>
      <c r="BE440" s="139" t="s">
        <v>59</v>
      </c>
      <c r="BF440" s="130"/>
    </row>
    <row r="441" spans="1:59" s="148" customFormat="1" ht="24" customHeight="1">
      <c r="B441" s="227" t="s">
        <v>1058</v>
      </c>
      <c r="D441" s="240">
        <v>10306532</v>
      </c>
      <c r="F441" s="201" t="s">
        <v>1049</v>
      </c>
      <c r="G441" s="202">
        <v>44851</v>
      </c>
      <c r="H441" s="202">
        <v>44851</v>
      </c>
      <c r="I441" s="150"/>
      <c r="J441" s="202">
        <v>44865</v>
      </c>
      <c r="K441" s="150"/>
      <c r="L441" s="150"/>
      <c r="M441" s="150"/>
      <c r="N441" s="150"/>
      <c r="O441" s="150"/>
      <c r="P441" s="150"/>
      <c r="S441" s="332">
        <f t="shared" si="199"/>
        <v>30</v>
      </c>
      <c r="T441" s="363">
        <v>30</v>
      </c>
      <c r="U441" s="363">
        <v>30</v>
      </c>
      <c r="V441" s="363">
        <v>0</v>
      </c>
      <c r="Z441" s="148" t="s">
        <v>53</v>
      </c>
      <c r="AG441" s="134" t="s">
        <v>85</v>
      </c>
      <c r="AL441" s="148" t="s">
        <v>57</v>
      </c>
      <c r="AR441" s="135">
        <f>COUNTIF(B:B,B441)</f>
        <v>1</v>
      </c>
      <c r="AS441" s="135" t="str">
        <f t="shared" si="168"/>
        <v>2022_10_17_a</v>
      </c>
      <c r="AT441" s="136"/>
      <c r="AU441" s="135" t="str">
        <f t="shared" si="169"/>
        <v>2022</v>
      </c>
      <c r="AV441" s="135" t="str">
        <f t="shared" si="170"/>
        <v>10</v>
      </c>
      <c r="AW441" s="135" t="str">
        <f t="shared" si="171"/>
        <v>17</v>
      </c>
      <c r="AX441" s="135">
        <f t="shared" si="172"/>
        <v>44851</v>
      </c>
      <c r="AY441" s="137"/>
      <c r="AZ441" s="138">
        <f t="shared" si="173"/>
        <v>44851</v>
      </c>
      <c r="BA441" s="135" t="b">
        <f t="shared" si="174"/>
        <v>1</v>
      </c>
      <c r="BB441" s="135">
        <f t="shared" si="175"/>
        <v>44851</v>
      </c>
      <c r="BC441" s="135" t="str">
        <f t="shared" si="176"/>
        <v>no</v>
      </c>
      <c r="BD441" s="135" t="b">
        <f t="shared" si="177"/>
        <v>0</v>
      </c>
      <c r="BE441" s="139" t="s">
        <v>59</v>
      </c>
      <c r="BF441" s="130"/>
    </row>
    <row r="442" spans="1:59" s="413" customFormat="1" ht="24" customHeight="1">
      <c r="B442" s="414" t="s">
        <v>1059</v>
      </c>
      <c r="C442" s="415"/>
      <c r="D442" s="416">
        <v>10322245</v>
      </c>
      <c r="E442" s="417"/>
      <c r="F442" s="418" t="s">
        <v>1049</v>
      </c>
      <c r="G442" s="419">
        <v>44963</v>
      </c>
      <c r="H442" s="419">
        <v>44963</v>
      </c>
      <c r="I442" s="420"/>
      <c r="J442" s="419">
        <v>44977</v>
      </c>
      <c r="K442" s="420"/>
      <c r="L442" s="420"/>
      <c r="M442" s="420"/>
      <c r="N442" s="420"/>
      <c r="O442" s="420"/>
      <c r="P442" s="420"/>
      <c r="R442" s="413" t="s">
        <v>1060</v>
      </c>
      <c r="S442" s="332">
        <f t="shared" ref="S442:S443" si="200">U442+V442</f>
        <v>20</v>
      </c>
      <c r="T442" s="421">
        <v>20</v>
      </c>
      <c r="U442" s="421">
        <v>20</v>
      </c>
      <c r="V442" s="422">
        <v>0</v>
      </c>
      <c r="Z442" s="413" t="s">
        <v>53</v>
      </c>
      <c r="AG442" s="413" t="s">
        <v>85</v>
      </c>
      <c r="AH442" s="413" t="s">
        <v>86</v>
      </c>
      <c r="AL442" s="413" t="s">
        <v>57</v>
      </c>
      <c r="AR442" s="423">
        <f>COUNTIF(B:B,B442)</f>
        <v>1</v>
      </c>
      <c r="AS442" s="423" t="str">
        <f t="shared" si="168"/>
        <v>2023_02_06_a</v>
      </c>
      <c r="AT442" s="424"/>
      <c r="AU442" s="423" t="str">
        <f t="shared" si="169"/>
        <v>2023</v>
      </c>
      <c r="AV442" s="423" t="str">
        <f t="shared" si="170"/>
        <v>02</v>
      </c>
      <c r="AW442" s="423" t="str">
        <f t="shared" si="171"/>
        <v>06</v>
      </c>
      <c r="AX442" s="423">
        <f t="shared" si="172"/>
        <v>44963</v>
      </c>
      <c r="AY442" s="425"/>
      <c r="AZ442" s="426">
        <f t="shared" si="173"/>
        <v>44963</v>
      </c>
      <c r="BA442" s="423" t="b">
        <f t="shared" si="174"/>
        <v>1</v>
      </c>
      <c r="BB442" s="423">
        <f t="shared" si="175"/>
        <v>44963</v>
      </c>
      <c r="BC442" s="423" t="str">
        <f t="shared" si="176"/>
        <v>no</v>
      </c>
      <c r="BD442" s="423" t="b">
        <f t="shared" si="177"/>
        <v>0</v>
      </c>
      <c r="BE442" s="427" t="s">
        <v>59</v>
      </c>
    </row>
    <row r="443" spans="1:59" s="413" customFormat="1" ht="24" customHeight="1">
      <c r="B443" s="414" t="s">
        <v>1061</v>
      </c>
      <c r="C443" s="415"/>
      <c r="D443" s="416" t="s">
        <v>1020</v>
      </c>
      <c r="E443" s="417"/>
      <c r="F443" s="418" t="s">
        <v>1049</v>
      </c>
      <c r="G443" s="419">
        <v>44998</v>
      </c>
      <c r="H443" s="419">
        <v>44998</v>
      </c>
      <c r="I443" s="420"/>
      <c r="J443" s="419">
        <v>45012</v>
      </c>
      <c r="K443" s="420"/>
      <c r="L443" s="420"/>
      <c r="M443" s="420"/>
      <c r="N443" s="420"/>
      <c r="O443" s="420"/>
      <c r="P443" s="420"/>
      <c r="R443" s="413" t="s">
        <v>1062</v>
      </c>
      <c r="S443" s="332">
        <f t="shared" si="200"/>
        <v>25</v>
      </c>
      <c r="T443" s="421">
        <v>25</v>
      </c>
      <c r="U443" s="421">
        <v>25</v>
      </c>
      <c r="V443" s="422">
        <v>0</v>
      </c>
      <c r="Z443" s="413" t="s">
        <v>53</v>
      </c>
      <c r="AG443" s="413" t="s">
        <v>85</v>
      </c>
      <c r="AH443" s="413" t="s">
        <v>86</v>
      </c>
      <c r="AL443" s="413" t="s">
        <v>57</v>
      </c>
      <c r="AR443" s="423">
        <f>COUNTIF(B:B,B443)</f>
        <v>1</v>
      </c>
      <c r="AS443" s="423" t="str">
        <f t="shared" si="168"/>
        <v>2023_03_13_a</v>
      </c>
      <c r="AT443" s="424"/>
      <c r="AU443" s="423" t="str">
        <f t="shared" si="169"/>
        <v>2023</v>
      </c>
      <c r="AV443" s="423" t="str">
        <f t="shared" si="170"/>
        <v>03</v>
      </c>
      <c r="AW443" s="423" t="str">
        <f t="shared" si="171"/>
        <v>13</v>
      </c>
      <c r="AX443" s="423">
        <f t="shared" si="172"/>
        <v>44998</v>
      </c>
      <c r="AY443" s="425"/>
      <c r="AZ443" s="426">
        <f t="shared" si="173"/>
        <v>44998</v>
      </c>
      <c r="BA443" s="423" t="b">
        <f t="shared" si="174"/>
        <v>1</v>
      </c>
      <c r="BB443" s="423">
        <f t="shared" si="175"/>
        <v>44998</v>
      </c>
      <c r="BC443" s="423" t="str">
        <f t="shared" si="176"/>
        <v>no</v>
      </c>
      <c r="BD443" s="423" t="b">
        <f t="shared" si="177"/>
        <v>0</v>
      </c>
      <c r="BE443" s="427" t="s">
        <v>59</v>
      </c>
    </row>
    <row r="444" spans="1:59" s="148" customFormat="1" ht="24" customHeight="1">
      <c r="A444" s="146"/>
      <c r="B444" s="146" t="s">
        <v>1063</v>
      </c>
      <c r="C444" s="146"/>
      <c r="D444" s="227">
        <v>10077692</v>
      </c>
      <c r="E444" s="143"/>
      <c r="F444" s="143" t="s">
        <v>1064</v>
      </c>
      <c r="G444" s="146" t="s">
        <v>1028</v>
      </c>
      <c r="H444" s="145">
        <v>43864</v>
      </c>
      <c r="I444" s="144">
        <v>43875</v>
      </c>
      <c r="J444" s="145"/>
      <c r="K444" s="144"/>
      <c r="L444" s="144"/>
      <c r="M444" s="144" t="s">
        <v>48</v>
      </c>
      <c r="N444" s="144" t="s">
        <v>48</v>
      </c>
      <c r="O444" s="144" t="s">
        <v>48</v>
      </c>
      <c r="P444" s="144" t="s">
        <v>48</v>
      </c>
      <c r="Q444" s="146" t="s">
        <v>49</v>
      </c>
      <c r="R444" s="146" t="s">
        <v>1029</v>
      </c>
      <c r="S444" s="332">
        <f t="shared" si="199"/>
        <v>1</v>
      </c>
      <c r="T444" s="362">
        <v>1</v>
      </c>
      <c r="U444" s="362">
        <v>1</v>
      </c>
      <c r="V444" s="362">
        <v>0</v>
      </c>
      <c r="W444" s="146" t="s">
        <v>1030</v>
      </c>
      <c r="X444" s="146"/>
      <c r="Y444" s="146"/>
      <c r="Z444" s="146" t="s">
        <v>52</v>
      </c>
      <c r="AA444" s="146" t="s">
        <v>53</v>
      </c>
      <c r="AB444" s="146" t="s">
        <v>52</v>
      </c>
      <c r="AC444" s="146" t="s">
        <v>48</v>
      </c>
      <c r="AD444" s="146" t="s">
        <v>53</v>
      </c>
      <c r="AE444" s="146" t="s">
        <v>54</v>
      </c>
      <c r="AF444" s="146" t="s">
        <v>54</v>
      </c>
      <c r="AG444" s="146" t="s">
        <v>85</v>
      </c>
      <c r="AH444" s="146" t="s">
        <v>56</v>
      </c>
      <c r="AI444" s="146" t="s">
        <v>48</v>
      </c>
      <c r="AJ444" s="146"/>
      <c r="AK444" s="146">
        <v>40</v>
      </c>
      <c r="AL444" s="146" t="s">
        <v>57</v>
      </c>
      <c r="AM444" s="146"/>
      <c r="AN444" s="146"/>
      <c r="AO444" s="146"/>
      <c r="AP444" s="146"/>
      <c r="AQ444" s="146"/>
      <c r="AR444" s="135">
        <f>COUNTIF(B:B,B444)</f>
        <v>1</v>
      </c>
      <c r="AS444" s="135" t="str">
        <f t="shared" si="168"/>
        <v>2020_02_03_a</v>
      </c>
      <c r="AT444" s="136"/>
      <c r="AU444" s="135" t="str">
        <f t="shared" si="169"/>
        <v>2020</v>
      </c>
      <c r="AV444" s="135" t="str">
        <f t="shared" si="170"/>
        <v>02</v>
      </c>
      <c r="AW444" s="135" t="str">
        <f t="shared" si="171"/>
        <v>03</v>
      </c>
      <c r="AX444" s="135">
        <f t="shared" si="172"/>
        <v>43864</v>
      </c>
      <c r="AY444" s="137"/>
      <c r="AZ444" s="138">
        <f t="shared" si="173"/>
        <v>43864</v>
      </c>
      <c r="BA444" s="135" t="b">
        <f t="shared" si="174"/>
        <v>1</v>
      </c>
      <c r="BB444" s="135">
        <f t="shared" si="175"/>
        <v>43864</v>
      </c>
      <c r="BC444" s="135" t="str">
        <f t="shared" si="176"/>
        <v>no</v>
      </c>
      <c r="BD444" s="135" t="b">
        <f t="shared" si="177"/>
        <v>0</v>
      </c>
      <c r="BE444" s="139" t="s">
        <v>59</v>
      </c>
      <c r="BF444" s="130"/>
      <c r="BG444" s="146"/>
    </row>
    <row r="445" spans="1:59" s="148" customFormat="1" ht="24" customHeight="1">
      <c r="A445" s="198" t="s">
        <v>1065</v>
      </c>
      <c r="B445" s="198" t="s">
        <v>1066</v>
      </c>
      <c r="C445" s="199" t="s">
        <v>1067</v>
      </c>
      <c r="D445" s="364">
        <v>10075215</v>
      </c>
      <c r="E445" s="224" t="s">
        <v>80</v>
      </c>
      <c r="F445" s="224" t="s">
        <v>1064</v>
      </c>
      <c r="G445" s="199" t="s">
        <v>1034</v>
      </c>
      <c r="H445" s="225">
        <v>43892</v>
      </c>
      <c r="I445" s="210">
        <v>43903</v>
      </c>
      <c r="J445" s="225">
        <f>WORKDAY(H445,10)</f>
        <v>43906</v>
      </c>
      <c r="K445" s="210">
        <v>43945</v>
      </c>
      <c r="L445" s="210">
        <v>43945</v>
      </c>
      <c r="M445" s="210" t="s">
        <v>48</v>
      </c>
      <c r="N445" s="210" t="s">
        <v>48</v>
      </c>
      <c r="O445" s="210" t="s">
        <v>48</v>
      </c>
      <c r="P445" s="210" t="s">
        <v>48</v>
      </c>
      <c r="Q445" s="199" t="s">
        <v>49</v>
      </c>
      <c r="R445" s="199" t="s">
        <v>1068</v>
      </c>
      <c r="S445" s="332">
        <f t="shared" si="199"/>
        <v>15</v>
      </c>
      <c r="T445" s="363">
        <v>15</v>
      </c>
      <c r="U445" s="363">
        <v>15</v>
      </c>
      <c r="V445" s="363">
        <v>0</v>
      </c>
      <c r="W445" s="199" t="s">
        <v>717</v>
      </c>
      <c r="X445" s="199"/>
      <c r="Y445" s="199"/>
      <c r="Z445" s="199" t="s">
        <v>52</v>
      </c>
      <c r="AA445" s="199" t="s">
        <v>53</v>
      </c>
      <c r="AB445" s="199" t="s">
        <v>52</v>
      </c>
      <c r="AC445" s="199" t="s">
        <v>48</v>
      </c>
      <c r="AD445" s="199" t="s">
        <v>52</v>
      </c>
      <c r="AE445" s="146" t="s">
        <v>54</v>
      </c>
      <c r="AF445" s="146" t="s">
        <v>54</v>
      </c>
      <c r="AG445" s="134" t="s">
        <v>85</v>
      </c>
      <c r="AH445" s="199" t="s">
        <v>56</v>
      </c>
      <c r="AI445" s="199" t="s">
        <v>48</v>
      </c>
      <c r="AJ445" s="199"/>
      <c r="AK445" s="199" t="s">
        <v>1069</v>
      </c>
      <c r="AL445" s="199" t="s">
        <v>57</v>
      </c>
      <c r="AM445" s="199"/>
      <c r="AN445" s="199" t="s">
        <v>1036</v>
      </c>
      <c r="AO445" s="199"/>
      <c r="AP445" s="199"/>
      <c r="AQ445" s="199"/>
      <c r="AR445" s="135">
        <f>COUNTIF(B:B,B445)</f>
        <v>1</v>
      </c>
      <c r="AS445" s="135" t="str">
        <f t="shared" si="168"/>
        <v>2020_03_02_a</v>
      </c>
      <c r="AT445" s="136"/>
      <c r="AU445" s="135" t="str">
        <f t="shared" si="169"/>
        <v>2020</v>
      </c>
      <c r="AV445" s="135" t="str">
        <f t="shared" si="170"/>
        <v>03</v>
      </c>
      <c r="AW445" s="135" t="str">
        <f t="shared" si="171"/>
        <v>02</v>
      </c>
      <c r="AX445" s="135">
        <f t="shared" si="172"/>
        <v>43892</v>
      </c>
      <c r="AY445" s="137"/>
      <c r="AZ445" s="138">
        <f t="shared" si="173"/>
        <v>43892</v>
      </c>
      <c r="BA445" s="135" t="b">
        <f t="shared" si="174"/>
        <v>1</v>
      </c>
      <c r="BB445" s="135">
        <f t="shared" si="175"/>
        <v>43892</v>
      </c>
      <c r="BC445" s="135" t="str">
        <f t="shared" si="176"/>
        <v>no</v>
      </c>
      <c r="BD445" s="135" t="b">
        <f t="shared" si="177"/>
        <v>0</v>
      </c>
      <c r="BE445" s="139" t="s">
        <v>59</v>
      </c>
      <c r="BF445" s="130"/>
      <c r="BG445" s="199"/>
    </row>
    <row r="446" spans="1:59" s="148" customFormat="1" ht="24" customHeight="1">
      <c r="A446" s="198" t="s">
        <v>1070</v>
      </c>
      <c r="B446" s="229" t="s">
        <v>1071</v>
      </c>
      <c r="C446" s="197" t="s">
        <v>1072</v>
      </c>
      <c r="D446" s="364">
        <v>10080172</v>
      </c>
      <c r="E446" s="223"/>
      <c r="F446" s="230" t="s">
        <v>1064</v>
      </c>
      <c r="G446" s="223" t="s">
        <v>1073</v>
      </c>
      <c r="H446" s="231">
        <v>43941</v>
      </c>
      <c r="I446" s="232">
        <v>43945</v>
      </c>
      <c r="J446" s="231">
        <v>44069</v>
      </c>
      <c r="K446" s="232">
        <v>44071</v>
      </c>
      <c r="L446" s="232">
        <v>43993</v>
      </c>
      <c r="M446" s="232">
        <v>44027</v>
      </c>
      <c r="N446" s="232">
        <v>44033</v>
      </c>
      <c r="O446" s="232" t="s">
        <v>48</v>
      </c>
      <c r="P446" s="232" t="s">
        <v>48</v>
      </c>
      <c r="Q446" s="223" t="s">
        <v>82</v>
      </c>
      <c r="R446" s="199" t="s">
        <v>1074</v>
      </c>
      <c r="S446" s="332">
        <f t="shared" si="199"/>
        <v>19</v>
      </c>
      <c r="T446" s="363">
        <v>19</v>
      </c>
      <c r="U446" s="363">
        <v>19</v>
      </c>
      <c r="V446" s="363">
        <v>0</v>
      </c>
      <c r="W446" s="223" t="s">
        <v>717</v>
      </c>
      <c r="X446" s="223"/>
      <c r="Y446" s="223"/>
      <c r="Z446" s="199" t="s">
        <v>52</v>
      </c>
      <c r="AA446" s="199" t="s">
        <v>53</v>
      </c>
      <c r="AB446" s="199" t="s">
        <v>52</v>
      </c>
      <c r="AC446" s="210" t="s">
        <v>52</v>
      </c>
      <c r="AD446" s="210" t="s">
        <v>52</v>
      </c>
      <c r="AE446" s="146" t="s">
        <v>54</v>
      </c>
      <c r="AF446" s="146" t="s">
        <v>54</v>
      </c>
      <c r="AG446" s="134" t="s">
        <v>85</v>
      </c>
      <c r="AH446" s="223" t="s">
        <v>86</v>
      </c>
      <c r="AI446" s="223" t="s">
        <v>56</v>
      </c>
      <c r="AJ446" s="223"/>
      <c r="AK446" s="223">
        <v>53</v>
      </c>
      <c r="AL446" s="223" t="s">
        <v>1041</v>
      </c>
      <c r="AM446" s="223"/>
      <c r="AN446" s="223"/>
      <c r="AO446" s="223"/>
      <c r="AP446" s="223"/>
      <c r="AQ446" s="223"/>
      <c r="AR446" s="135">
        <f>COUNTIF(B:B,B446)</f>
        <v>1</v>
      </c>
      <c r="AS446" s="135" t="str">
        <f t="shared" si="168"/>
        <v>2020_04_20_a</v>
      </c>
      <c r="AT446" s="136"/>
      <c r="AU446" s="135" t="str">
        <f t="shared" si="169"/>
        <v>2020</v>
      </c>
      <c r="AV446" s="135" t="str">
        <f t="shared" si="170"/>
        <v>04</v>
      </c>
      <c r="AW446" s="135" t="str">
        <f t="shared" si="171"/>
        <v>20</v>
      </c>
      <c r="AX446" s="135">
        <f t="shared" si="172"/>
        <v>43941</v>
      </c>
      <c r="AY446" s="137"/>
      <c r="AZ446" s="138">
        <f t="shared" si="173"/>
        <v>43941</v>
      </c>
      <c r="BA446" s="135" t="b">
        <f t="shared" si="174"/>
        <v>1</v>
      </c>
      <c r="BB446" s="135">
        <f t="shared" si="175"/>
        <v>43941</v>
      </c>
      <c r="BC446" s="135" t="str">
        <f t="shared" si="176"/>
        <v>no</v>
      </c>
      <c r="BD446" s="135" t="b">
        <f t="shared" si="177"/>
        <v>0</v>
      </c>
      <c r="BE446" s="139" t="s">
        <v>59</v>
      </c>
      <c r="BF446" s="130"/>
    </row>
    <row r="447" spans="1:59" s="148" customFormat="1" ht="24" customHeight="1">
      <c r="A447" s="198" t="s">
        <v>1075</v>
      </c>
      <c r="B447" s="198" t="s">
        <v>1076</v>
      </c>
      <c r="D447" s="364">
        <v>10085589</v>
      </c>
      <c r="F447" s="226" t="s">
        <v>1064</v>
      </c>
      <c r="G447" s="134" t="s">
        <v>1044</v>
      </c>
      <c r="H447" s="208">
        <v>44025</v>
      </c>
      <c r="I447" s="209">
        <v>44036</v>
      </c>
      <c r="J447" s="208">
        <f>WORKDAY(H447,10)</f>
        <v>44039</v>
      </c>
      <c r="K447" s="209">
        <v>44078</v>
      </c>
      <c r="L447" s="209">
        <v>44081</v>
      </c>
      <c r="M447" s="209" t="s">
        <v>48</v>
      </c>
      <c r="N447" s="209" t="s">
        <v>48</v>
      </c>
      <c r="O447" s="209" t="s">
        <v>48</v>
      </c>
      <c r="P447" s="209" t="s">
        <v>48</v>
      </c>
      <c r="Q447" s="134" t="s">
        <v>93</v>
      </c>
      <c r="R447" s="134" t="s">
        <v>1074</v>
      </c>
      <c r="S447" s="332">
        <f t="shared" si="199"/>
        <v>47</v>
      </c>
      <c r="T447" s="363">
        <v>47</v>
      </c>
      <c r="U447" s="363">
        <v>46</v>
      </c>
      <c r="V447" s="363">
        <v>1</v>
      </c>
      <c r="W447" s="134" t="s">
        <v>717</v>
      </c>
      <c r="X447" s="147"/>
      <c r="Y447" s="147"/>
      <c r="Z447" s="134" t="s">
        <v>52</v>
      </c>
      <c r="AA447" s="134" t="s">
        <v>53</v>
      </c>
      <c r="AB447" s="134" t="s">
        <v>52</v>
      </c>
      <c r="AC447" s="134" t="s">
        <v>48</v>
      </c>
      <c r="AD447" s="199" t="s">
        <v>52</v>
      </c>
      <c r="AE447" s="130" t="s">
        <v>54</v>
      </c>
      <c r="AF447" s="130" t="s">
        <v>54</v>
      </c>
      <c r="AG447" s="134" t="s">
        <v>85</v>
      </c>
      <c r="AH447" s="134" t="s">
        <v>86</v>
      </c>
      <c r="AI447" s="134" t="s">
        <v>48</v>
      </c>
      <c r="AL447" s="148" t="s">
        <v>57</v>
      </c>
      <c r="AR447" s="135">
        <f>COUNTIF(B:B,B447)</f>
        <v>1</v>
      </c>
      <c r="AS447" s="135" t="str">
        <f t="shared" si="168"/>
        <v>2020_07_13_a</v>
      </c>
      <c r="AT447" s="136"/>
      <c r="AU447" s="135" t="str">
        <f t="shared" si="169"/>
        <v>2020</v>
      </c>
      <c r="AV447" s="135" t="str">
        <f t="shared" si="170"/>
        <v>07</v>
      </c>
      <c r="AW447" s="135" t="str">
        <f t="shared" si="171"/>
        <v>13</v>
      </c>
      <c r="AX447" s="135">
        <f t="shared" si="172"/>
        <v>44025</v>
      </c>
      <c r="AY447" s="137"/>
      <c r="AZ447" s="138">
        <f t="shared" si="173"/>
        <v>44025</v>
      </c>
      <c r="BA447" s="135" t="b">
        <f t="shared" si="174"/>
        <v>1</v>
      </c>
      <c r="BB447" s="135">
        <f t="shared" si="175"/>
        <v>44025</v>
      </c>
      <c r="BC447" s="135" t="str">
        <f t="shared" si="176"/>
        <v>no</v>
      </c>
      <c r="BD447" s="135" t="b">
        <f t="shared" si="177"/>
        <v>0</v>
      </c>
      <c r="BE447" s="139" t="s">
        <v>59</v>
      </c>
      <c r="BF447" s="130"/>
    </row>
    <row r="448" spans="1:59" s="148" customFormat="1" ht="24" customHeight="1">
      <c r="A448" s="204" t="s">
        <v>1077</v>
      </c>
      <c r="B448" s="211" t="s">
        <v>1078</v>
      </c>
      <c r="C448" s="206"/>
      <c r="D448" s="214">
        <v>10085643</v>
      </c>
      <c r="E448" s="207"/>
      <c r="F448" s="226" t="s">
        <v>1064</v>
      </c>
      <c r="G448" s="233" t="s">
        <v>1079</v>
      </c>
      <c r="H448" s="234">
        <v>44060</v>
      </c>
      <c r="I448" s="209">
        <v>44071</v>
      </c>
      <c r="J448" s="235">
        <f>WORKDAY(H448,10)</f>
        <v>44074</v>
      </c>
      <c r="K448" s="209">
        <v>44113</v>
      </c>
      <c r="L448" s="209">
        <v>44116</v>
      </c>
      <c r="M448" s="209" t="s">
        <v>48</v>
      </c>
      <c r="N448" s="209" t="s">
        <v>48</v>
      </c>
      <c r="O448" s="209" t="s">
        <v>48</v>
      </c>
      <c r="P448" s="209" t="s">
        <v>48</v>
      </c>
      <c r="Q448" s="134" t="s">
        <v>93</v>
      </c>
      <c r="R448" s="134" t="s">
        <v>1074</v>
      </c>
      <c r="S448" s="332">
        <f t="shared" si="199"/>
        <v>34</v>
      </c>
      <c r="T448" s="362">
        <v>34</v>
      </c>
      <c r="U448" s="362">
        <v>34</v>
      </c>
      <c r="V448" s="362">
        <v>0</v>
      </c>
      <c r="W448" s="134" t="s">
        <v>717</v>
      </c>
      <c r="X448" s="147"/>
      <c r="Y448" s="147"/>
      <c r="Z448" s="134" t="s">
        <v>52</v>
      </c>
      <c r="AA448" s="134" t="s">
        <v>53</v>
      </c>
      <c r="AB448" s="134" t="s">
        <v>52</v>
      </c>
      <c r="AC448" s="134" t="s">
        <v>48</v>
      </c>
      <c r="AD448" s="210" t="s">
        <v>53</v>
      </c>
      <c r="AE448" s="130" t="s">
        <v>54</v>
      </c>
      <c r="AF448" s="130" t="s">
        <v>54</v>
      </c>
      <c r="AG448" s="134" t="s">
        <v>85</v>
      </c>
      <c r="AH448" s="134" t="s">
        <v>86</v>
      </c>
      <c r="AI448" s="134" t="s">
        <v>48</v>
      </c>
      <c r="AL448" s="148" t="s">
        <v>57</v>
      </c>
      <c r="AR448" s="135">
        <f>COUNTIF(B:B,B448)</f>
        <v>1</v>
      </c>
      <c r="AS448" s="135" t="str">
        <f t="shared" si="168"/>
        <v>2020_08_17_a</v>
      </c>
      <c r="AT448" s="136"/>
      <c r="AU448" s="135" t="str">
        <f t="shared" si="169"/>
        <v>2020</v>
      </c>
      <c r="AV448" s="135" t="str">
        <f t="shared" si="170"/>
        <v>08</v>
      </c>
      <c r="AW448" s="135" t="str">
        <f t="shared" si="171"/>
        <v>17</v>
      </c>
      <c r="AX448" s="135">
        <f t="shared" si="172"/>
        <v>44060</v>
      </c>
      <c r="AY448" s="137"/>
      <c r="AZ448" s="138">
        <f t="shared" si="173"/>
        <v>44060</v>
      </c>
      <c r="BA448" s="135" t="b">
        <f t="shared" si="174"/>
        <v>1</v>
      </c>
      <c r="BB448" s="135">
        <f t="shared" si="175"/>
        <v>44060</v>
      </c>
      <c r="BC448" s="135" t="str">
        <f t="shared" si="176"/>
        <v>no</v>
      </c>
      <c r="BD448" s="135" t="b">
        <f t="shared" si="177"/>
        <v>0</v>
      </c>
      <c r="BE448" s="139" t="s">
        <v>59</v>
      </c>
      <c r="BF448" s="130"/>
    </row>
    <row r="449" spans="1:59" s="148" customFormat="1" ht="24" customHeight="1">
      <c r="A449" s="148" t="s">
        <v>1080</v>
      </c>
      <c r="B449" s="148" t="s">
        <v>1081</v>
      </c>
      <c r="D449" s="240">
        <v>10085597</v>
      </c>
      <c r="F449" s="226" t="s">
        <v>1064</v>
      </c>
      <c r="G449" s="134" t="s">
        <v>1082</v>
      </c>
      <c r="H449" s="208">
        <v>44067</v>
      </c>
      <c r="I449" s="209">
        <v>44078</v>
      </c>
      <c r="J449" s="208">
        <v>44081</v>
      </c>
      <c r="K449" s="209">
        <v>44120</v>
      </c>
      <c r="L449" s="209">
        <v>44123</v>
      </c>
      <c r="M449" s="209" t="s">
        <v>48</v>
      </c>
      <c r="N449" s="209" t="s">
        <v>48</v>
      </c>
      <c r="O449" s="209" t="s">
        <v>48</v>
      </c>
      <c r="P449" s="209" t="s">
        <v>48</v>
      </c>
      <c r="Q449" s="134" t="s">
        <v>93</v>
      </c>
      <c r="R449" s="134" t="s">
        <v>1074</v>
      </c>
      <c r="S449" s="332">
        <f t="shared" si="199"/>
        <v>28</v>
      </c>
      <c r="T449" s="363">
        <v>28</v>
      </c>
      <c r="U449" s="363">
        <v>28</v>
      </c>
      <c r="V449" s="363">
        <v>0</v>
      </c>
      <c r="W449" s="134" t="s">
        <v>717</v>
      </c>
      <c r="X449" s="147"/>
      <c r="Y449" s="147"/>
      <c r="Z449" s="134" t="s">
        <v>52</v>
      </c>
      <c r="AA449" s="134" t="s">
        <v>53</v>
      </c>
      <c r="AB449" s="197" t="s">
        <v>52</v>
      </c>
      <c r="AC449" s="134" t="s">
        <v>48</v>
      </c>
      <c r="AD449" s="199" t="s">
        <v>53</v>
      </c>
      <c r="AE449" s="130" t="s">
        <v>54</v>
      </c>
      <c r="AF449" s="130" t="s">
        <v>54</v>
      </c>
      <c r="AG449" s="134" t="s">
        <v>85</v>
      </c>
      <c r="AH449" s="134" t="s">
        <v>86</v>
      </c>
      <c r="AI449" s="134" t="s">
        <v>48</v>
      </c>
      <c r="AL449" s="148" t="s">
        <v>57</v>
      </c>
      <c r="AR449" s="135">
        <f>COUNTIF(B:B,B449)</f>
        <v>1</v>
      </c>
      <c r="AS449" s="135" t="str">
        <f t="shared" si="168"/>
        <v>2020_08_24_a</v>
      </c>
      <c r="AT449" s="136"/>
      <c r="AU449" s="135" t="str">
        <f t="shared" si="169"/>
        <v>2020</v>
      </c>
      <c r="AV449" s="135" t="str">
        <f t="shared" si="170"/>
        <v>08</v>
      </c>
      <c r="AW449" s="135" t="str">
        <f t="shared" si="171"/>
        <v>24</v>
      </c>
      <c r="AX449" s="135">
        <f t="shared" si="172"/>
        <v>44067</v>
      </c>
      <c r="AY449" s="137"/>
      <c r="AZ449" s="138">
        <f t="shared" si="173"/>
        <v>44067</v>
      </c>
      <c r="BA449" s="135" t="b">
        <f t="shared" si="174"/>
        <v>1</v>
      </c>
      <c r="BB449" s="135">
        <f t="shared" si="175"/>
        <v>44067</v>
      </c>
      <c r="BC449" s="135" t="str">
        <f t="shared" si="176"/>
        <v>no</v>
      </c>
      <c r="BD449" s="135" t="b">
        <f t="shared" si="177"/>
        <v>0</v>
      </c>
      <c r="BE449" s="139" t="s">
        <v>59</v>
      </c>
      <c r="BF449" s="130"/>
    </row>
    <row r="450" spans="1:59" s="148" customFormat="1" ht="24" customHeight="1">
      <c r="A450" s="204" t="s">
        <v>1083</v>
      </c>
      <c r="B450" s="211" t="s">
        <v>1084</v>
      </c>
      <c r="C450" s="206"/>
      <c r="D450" s="240">
        <v>10087785</v>
      </c>
      <c r="E450" s="207"/>
      <c r="F450" s="226" t="s">
        <v>1064</v>
      </c>
      <c r="G450" s="233" t="s">
        <v>1085</v>
      </c>
      <c r="H450" s="234">
        <v>44088</v>
      </c>
      <c r="I450" s="209">
        <v>44099</v>
      </c>
      <c r="J450" s="235">
        <f>WORKDAY(H450,10)</f>
        <v>44102</v>
      </c>
      <c r="K450" s="209">
        <v>44141</v>
      </c>
      <c r="L450" s="209">
        <v>44144</v>
      </c>
      <c r="M450" s="209" t="s">
        <v>48</v>
      </c>
      <c r="N450" s="209" t="s">
        <v>48</v>
      </c>
      <c r="O450" s="209" t="s">
        <v>48</v>
      </c>
      <c r="P450" s="209" t="s">
        <v>48</v>
      </c>
      <c r="Q450" s="134" t="s">
        <v>93</v>
      </c>
      <c r="R450" s="134" t="s">
        <v>1074</v>
      </c>
      <c r="S450" s="332">
        <f t="shared" si="199"/>
        <v>41</v>
      </c>
      <c r="T450" s="363">
        <v>41</v>
      </c>
      <c r="U450" s="363">
        <v>41</v>
      </c>
      <c r="V450" s="363">
        <v>0</v>
      </c>
      <c r="W450" s="134" t="s">
        <v>717</v>
      </c>
      <c r="X450" s="147"/>
      <c r="Y450" s="147"/>
      <c r="Z450" s="134" t="s">
        <v>52</v>
      </c>
      <c r="AA450" s="134" t="s">
        <v>53</v>
      </c>
      <c r="AB450" s="197" t="s">
        <v>52</v>
      </c>
      <c r="AC450" s="134" t="s">
        <v>48</v>
      </c>
      <c r="AD450" s="210" t="s">
        <v>53</v>
      </c>
      <c r="AE450" s="130" t="s">
        <v>54</v>
      </c>
      <c r="AF450" s="130" t="s">
        <v>54</v>
      </c>
      <c r="AG450" s="134" t="s">
        <v>85</v>
      </c>
      <c r="AH450" s="134" t="s">
        <v>86</v>
      </c>
      <c r="AI450" s="134" t="s">
        <v>48</v>
      </c>
      <c r="AL450" s="148" t="s">
        <v>57</v>
      </c>
      <c r="AR450" s="135">
        <f>COUNTIF(B:B,B450)</f>
        <v>1</v>
      </c>
      <c r="AS450" s="135" t="str">
        <f t="shared" si="168"/>
        <v>2020_09_14_a</v>
      </c>
      <c r="AT450" s="136"/>
      <c r="AU450" s="135" t="str">
        <f t="shared" si="169"/>
        <v>2020</v>
      </c>
      <c r="AV450" s="135" t="str">
        <f t="shared" si="170"/>
        <v>09</v>
      </c>
      <c r="AW450" s="135" t="str">
        <f t="shared" si="171"/>
        <v>14</v>
      </c>
      <c r="AX450" s="135">
        <f t="shared" si="172"/>
        <v>44088</v>
      </c>
      <c r="AY450" s="137"/>
      <c r="AZ450" s="138">
        <f t="shared" si="173"/>
        <v>44088</v>
      </c>
      <c r="BA450" s="135" t="b">
        <f t="shared" si="174"/>
        <v>1</v>
      </c>
      <c r="BB450" s="135">
        <f t="shared" si="175"/>
        <v>44088</v>
      </c>
      <c r="BC450" s="135" t="str">
        <f t="shared" si="176"/>
        <v>no</v>
      </c>
      <c r="BD450" s="135" t="b">
        <f t="shared" si="177"/>
        <v>0</v>
      </c>
      <c r="BE450" s="139" t="s">
        <v>59</v>
      </c>
      <c r="BF450" s="130"/>
    </row>
    <row r="451" spans="1:59" s="197" customFormat="1" ht="24" customHeight="1">
      <c r="A451" s="148" t="s">
        <v>1086</v>
      </c>
      <c r="B451" s="148" t="s">
        <v>1087</v>
      </c>
      <c r="C451" s="148"/>
      <c r="D451" s="240">
        <v>10089548</v>
      </c>
      <c r="E451" s="148"/>
      <c r="F451" s="226" t="s">
        <v>1064</v>
      </c>
      <c r="G451" s="134" t="s">
        <v>1047</v>
      </c>
      <c r="H451" s="208">
        <v>44123</v>
      </c>
      <c r="I451" s="209">
        <v>44134</v>
      </c>
      <c r="J451" s="208">
        <f>WORKDAY(H451,10)</f>
        <v>44137</v>
      </c>
      <c r="K451" s="209">
        <v>44176</v>
      </c>
      <c r="L451" s="209">
        <v>44179</v>
      </c>
      <c r="M451" s="209" t="s">
        <v>48</v>
      </c>
      <c r="N451" s="209" t="s">
        <v>48</v>
      </c>
      <c r="O451" s="209" t="s">
        <v>48</v>
      </c>
      <c r="P451" s="209" t="s">
        <v>48</v>
      </c>
      <c r="Q451" s="134" t="s">
        <v>106</v>
      </c>
      <c r="R451" s="134" t="s">
        <v>1074</v>
      </c>
      <c r="S451" s="332">
        <f t="shared" si="199"/>
        <v>27</v>
      </c>
      <c r="T451" s="363">
        <v>27</v>
      </c>
      <c r="U451" s="363">
        <v>27</v>
      </c>
      <c r="V451" s="363">
        <v>0</v>
      </c>
      <c r="W451" s="134" t="s">
        <v>717</v>
      </c>
      <c r="X451" s="147"/>
      <c r="Y451" s="147"/>
      <c r="Z451" s="134" t="s">
        <v>52</v>
      </c>
      <c r="AA451" s="134" t="s">
        <v>53</v>
      </c>
      <c r="AB451" s="134" t="s">
        <v>52</v>
      </c>
      <c r="AC451" s="134" t="s">
        <v>48</v>
      </c>
      <c r="AD451" s="199" t="s">
        <v>54</v>
      </c>
      <c r="AE451" s="130" t="s">
        <v>54</v>
      </c>
      <c r="AF451" s="130" t="s">
        <v>54</v>
      </c>
      <c r="AG451" s="134" t="s">
        <v>85</v>
      </c>
      <c r="AH451" s="134" t="s">
        <v>86</v>
      </c>
      <c r="AI451" s="134" t="s">
        <v>48</v>
      </c>
      <c r="AJ451" s="148"/>
      <c r="AK451" s="148"/>
      <c r="AL451" s="148" t="s">
        <v>57</v>
      </c>
      <c r="AM451" s="148"/>
      <c r="AN451" s="148"/>
      <c r="AO451" s="148"/>
      <c r="AP451" s="148"/>
      <c r="AQ451" s="148"/>
      <c r="AR451" s="135">
        <f>COUNTIF(B:B,B451)</f>
        <v>1</v>
      </c>
      <c r="AS451" s="135" t="str">
        <f t="shared" si="168"/>
        <v>2020_10_19_a</v>
      </c>
      <c r="AT451" s="136"/>
      <c r="AU451" s="135" t="str">
        <f t="shared" si="169"/>
        <v>2020</v>
      </c>
      <c r="AV451" s="135" t="str">
        <f t="shared" si="170"/>
        <v>10</v>
      </c>
      <c r="AW451" s="135" t="str">
        <f t="shared" si="171"/>
        <v>19</v>
      </c>
      <c r="AX451" s="135">
        <f t="shared" si="172"/>
        <v>44123</v>
      </c>
      <c r="AY451" s="137"/>
      <c r="AZ451" s="138">
        <f t="shared" si="173"/>
        <v>44123</v>
      </c>
      <c r="BA451" s="135" t="b">
        <f t="shared" si="174"/>
        <v>1</v>
      </c>
      <c r="BB451" s="135">
        <f t="shared" si="175"/>
        <v>44123</v>
      </c>
      <c r="BC451" s="135" t="str">
        <f t="shared" si="176"/>
        <v>no</v>
      </c>
      <c r="BD451" s="135" t="b">
        <f t="shared" si="177"/>
        <v>0</v>
      </c>
      <c r="BE451" s="139" t="s">
        <v>59</v>
      </c>
      <c r="BF451" s="130"/>
      <c r="BG451" s="148"/>
    </row>
    <row r="452" spans="1:59" s="148" customFormat="1" ht="24" customHeight="1">
      <c r="A452" s="204" t="s">
        <v>1088</v>
      </c>
      <c r="B452" s="211" t="s">
        <v>1089</v>
      </c>
      <c r="C452" s="206"/>
      <c r="D452" s="240">
        <v>10089484</v>
      </c>
      <c r="E452" s="207"/>
      <c r="F452" s="226" t="s">
        <v>1009</v>
      </c>
      <c r="G452" s="233" t="s">
        <v>1090</v>
      </c>
      <c r="H452" s="234">
        <v>44137</v>
      </c>
      <c r="I452" s="209">
        <v>44148</v>
      </c>
      <c r="J452" s="235">
        <v>44151</v>
      </c>
      <c r="K452" s="209">
        <v>44189</v>
      </c>
      <c r="L452" s="209">
        <v>44193</v>
      </c>
      <c r="M452" s="209" t="s">
        <v>48</v>
      </c>
      <c r="N452" s="209" t="s">
        <v>48</v>
      </c>
      <c r="O452" s="209" t="s">
        <v>48</v>
      </c>
      <c r="P452" s="209" t="s">
        <v>48</v>
      </c>
      <c r="Q452" s="134" t="s">
        <v>106</v>
      </c>
      <c r="R452" s="134" t="s">
        <v>1074</v>
      </c>
      <c r="S452" s="332">
        <f t="shared" si="199"/>
        <v>23</v>
      </c>
      <c r="T452" s="363">
        <v>23</v>
      </c>
      <c r="U452" s="363">
        <v>23</v>
      </c>
      <c r="V452" s="363">
        <v>0</v>
      </c>
      <c r="W452" s="134" t="s">
        <v>717</v>
      </c>
      <c r="X452" s="147"/>
      <c r="Y452" s="147"/>
      <c r="Z452" s="134" t="s">
        <v>52</v>
      </c>
      <c r="AA452" s="134" t="s">
        <v>53</v>
      </c>
      <c r="AB452" s="134" t="s">
        <v>52</v>
      </c>
      <c r="AC452" s="134" t="s">
        <v>48</v>
      </c>
      <c r="AD452" s="210" t="s">
        <v>54</v>
      </c>
      <c r="AE452" s="130" t="s">
        <v>54</v>
      </c>
      <c r="AF452" s="130" t="s">
        <v>54</v>
      </c>
      <c r="AG452" s="134" t="s">
        <v>85</v>
      </c>
      <c r="AH452" s="134" t="s">
        <v>86</v>
      </c>
      <c r="AI452" s="134" t="s">
        <v>48</v>
      </c>
      <c r="AL452" s="148" t="s">
        <v>57</v>
      </c>
      <c r="AR452" s="135">
        <f>COUNTIF(B:B,B452)</f>
        <v>1</v>
      </c>
      <c r="AS452" s="135" t="str">
        <f t="shared" si="168"/>
        <v>2020_11_02_a</v>
      </c>
      <c r="AT452" s="136"/>
      <c r="AU452" s="135" t="str">
        <f t="shared" si="169"/>
        <v>2020</v>
      </c>
      <c r="AV452" s="135" t="str">
        <f t="shared" si="170"/>
        <v>11</v>
      </c>
      <c r="AW452" s="135" t="str">
        <f t="shared" si="171"/>
        <v>02</v>
      </c>
      <c r="AX452" s="135">
        <f t="shared" si="172"/>
        <v>44137</v>
      </c>
      <c r="AY452" s="137"/>
      <c r="AZ452" s="138">
        <f t="shared" si="173"/>
        <v>44137</v>
      </c>
      <c r="BA452" s="135" t="b">
        <f t="shared" si="174"/>
        <v>1</v>
      </c>
      <c r="BB452" s="135">
        <f t="shared" si="175"/>
        <v>44137</v>
      </c>
      <c r="BC452" s="135" t="str">
        <f t="shared" si="176"/>
        <v>no</v>
      </c>
      <c r="BD452" s="135" t="b">
        <f t="shared" si="177"/>
        <v>0</v>
      </c>
      <c r="BE452" s="139" t="s">
        <v>59</v>
      </c>
      <c r="BF452" s="130"/>
    </row>
    <row r="453" spans="1:59" s="148" customFormat="1" ht="24" customHeight="1">
      <c r="A453" s="204"/>
      <c r="B453" s="215" t="s">
        <v>1091</v>
      </c>
      <c r="C453" s="206"/>
      <c r="D453" s="365" t="s">
        <v>971</v>
      </c>
      <c r="E453" s="207"/>
      <c r="F453" s="226" t="s">
        <v>1009</v>
      </c>
      <c r="G453" s="234">
        <v>44209</v>
      </c>
      <c r="H453" s="234">
        <v>44209</v>
      </c>
      <c r="I453" s="209"/>
      <c r="J453" s="235">
        <v>44209</v>
      </c>
      <c r="K453" s="209"/>
      <c r="L453" s="209"/>
      <c r="M453" s="209"/>
      <c r="N453" s="209"/>
      <c r="O453" s="209"/>
      <c r="P453" s="209"/>
      <c r="Q453" s="134"/>
      <c r="R453" s="134"/>
      <c r="S453" s="332">
        <f t="shared" si="199"/>
        <v>4</v>
      </c>
      <c r="T453" s="363">
        <v>4</v>
      </c>
      <c r="U453" s="363">
        <v>4</v>
      </c>
      <c r="V453" s="363">
        <v>0</v>
      </c>
      <c r="W453" s="134"/>
      <c r="X453" s="147"/>
      <c r="Y453" s="147"/>
      <c r="Z453" s="134"/>
      <c r="AA453" s="134"/>
      <c r="AB453" s="134"/>
      <c r="AC453" s="134"/>
      <c r="AD453" s="210"/>
      <c r="AE453" s="130"/>
      <c r="AF453" s="130"/>
      <c r="AG453" s="332" t="s">
        <v>85</v>
      </c>
      <c r="AH453" s="134" t="s">
        <v>86</v>
      </c>
      <c r="AI453" s="134"/>
      <c r="AM453" s="148" t="s">
        <v>972</v>
      </c>
      <c r="AR453" s="135">
        <f>COUNTIF(B:B,B453)</f>
        <v>1</v>
      </c>
      <c r="AS453" s="135" t="str">
        <f t="shared" si="168"/>
        <v>2021_01_13_a</v>
      </c>
      <c r="AT453" s="136"/>
      <c r="AU453" s="135" t="str">
        <f t="shared" si="169"/>
        <v>2021</v>
      </c>
      <c r="AV453" s="135" t="str">
        <f t="shared" si="170"/>
        <v>01</v>
      </c>
      <c r="AW453" s="135" t="str">
        <f t="shared" si="171"/>
        <v>13</v>
      </c>
      <c r="AX453" s="135">
        <f t="shared" si="172"/>
        <v>44209</v>
      </c>
      <c r="AY453" s="137"/>
      <c r="AZ453" s="138">
        <f t="shared" si="173"/>
        <v>44209</v>
      </c>
      <c r="BA453" s="135" t="b">
        <f t="shared" si="174"/>
        <v>1</v>
      </c>
      <c r="BB453" s="135" t="str">
        <f t="shared" si="175"/>
        <v xml:space="preserve"> </v>
      </c>
      <c r="BC453" s="135" t="str">
        <f t="shared" si="176"/>
        <v>yes</v>
      </c>
      <c r="BD453" s="135" t="b">
        <f t="shared" si="177"/>
        <v>0</v>
      </c>
      <c r="BE453" s="139" t="s">
        <v>59</v>
      </c>
      <c r="BF453" s="130"/>
    </row>
    <row r="454" spans="1:59" s="239" customFormat="1" ht="24" customHeight="1">
      <c r="A454" s="204"/>
      <c r="B454" s="211" t="s">
        <v>1092</v>
      </c>
      <c r="C454" s="206"/>
      <c r="D454" s="227">
        <v>10096639</v>
      </c>
      <c r="E454" s="207"/>
      <c r="F454" s="201" t="s">
        <v>1009</v>
      </c>
      <c r="G454" s="236">
        <v>44270</v>
      </c>
      <c r="H454" s="237">
        <v>44270</v>
      </c>
      <c r="I454" s="202"/>
      <c r="J454" s="238">
        <v>44284</v>
      </c>
      <c r="K454" s="202"/>
      <c r="L454" s="150"/>
      <c r="M454" s="150"/>
      <c r="N454" s="150"/>
      <c r="O454" s="150"/>
      <c r="P454" s="150"/>
      <c r="Q454" s="148"/>
      <c r="R454" s="148"/>
      <c r="S454" s="332">
        <f t="shared" si="199"/>
        <v>41</v>
      </c>
      <c r="T454" s="363">
        <v>41</v>
      </c>
      <c r="U454" s="363">
        <v>41</v>
      </c>
      <c r="V454" s="363">
        <v>0</v>
      </c>
      <c r="W454" s="148"/>
      <c r="X454" s="148"/>
      <c r="Y454" s="148"/>
      <c r="Z454" s="148" t="s">
        <v>53</v>
      </c>
      <c r="AA454" s="148"/>
      <c r="AB454" s="148"/>
      <c r="AC454" s="148"/>
      <c r="AD454" s="148"/>
      <c r="AE454" s="148"/>
      <c r="AF454" s="148"/>
      <c r="AG454" s="134" t="s">
        <v>85</v>
      </c>
      <c r="AH454" s="134" t="s">
        <v>86</v>
      </c>
      <c r="AI454" s="148"/>
      <c r="AJ454" s="148"/>
      <c r="AK454" s="148"/>
      <c r="AL454" s="148" t="s">
        <v>57</v>
      </c>
      <c r="AM454" s="148"/>
      <c r="AN454" s="148"/>
      <c r="AO454" s="148"/>
      <c r="AP454" s="148"/>
      <c r="AQ454" s="148"/>
      <c r="AR454" s="135">
        <f>COUNTIF(B:B,B454)</f>
        <v>1</v>
      </c>
      <c r="AS454" s="135" t="str">
        <f t="shared" si="168"/>
        <v>2021_03_15_a</v>
      </c>
      <c r="AT454" s="136"/>
      <c r="AU454" s="135" t="str">
        <f t="shared" si="169"/>
        <v>2021</v>
      </c>
      <c r="AV454" s="135" t="str">
        <f t="shared" si="170"/>
        <v>03</v>
      </c>
      <c r="AW454" s="135" t="str">
        <f t="shared" si="171"/>
        <v>15</v>
      </c>
      <c r="AX454" s="135">
        <f t="shared" si="172"/>
        <v>44270</v>
      </c>
      <c r="AY454" s="137"/>
      <c r="AZ454" s="138">
        <f t="shared" si="173"/>
        <v>44270</v>
      </c>
      <c r="BA454" s="135" t="b">
        <f t="shared" si="174"/>
        <v>1</v>
      </c>
      <c r="BB454" s="135">
        <f t="shared" si="175"/>
        <v>44270</v>
      </c>
      <c r="BC454" s="135" t="str">
        <f t="shared" si="176"/>
        <v>no</v>
      </c>
      <c r="BD454" s="135" t="b">
        <f t="shared" si="177"/>
        <v>0</v>
      </c>
      <c r="BE454" s="139" t="s">
        <v>59</v>
      </c>
      <c r="BF454" s="130"/>
      <c r="BG454" s="148"/>
    </row>
    <row r="455" spans="1:59" s="197" customFormat="1" ht="24" customHeight="1">
      <c r="A455" s="204"/>
      <c r="B455" s="211" t="s">
        <v>1093</v>
      </c>
      <c r="C455" s="206"/>
      <c r="D455" s="365">
        <v>10099554</v>
      </c>
      <c r="E455" s="207"/>
      <c r="F455" s="201" t="s">
        <v>1009</v>
      </c>
      <c r="G455" s="236">
        <v>44319</v>
      </c>
      <c r="H455" s="237">
        <v>44319</v>
      </c>
      <c r="I455" s="202"/>
      <c r="J455" s="238">
        <v>44333</v>
      </c>
      <c r="K455" s="202"/>
      <c r="L455" s="150"/>
      <c r="M455" s="150"/>
      <c r="N455" s="150"/>
      <c r="O455" s="150"/>
      <c r="P455" s="150"/>
      <c r="Q455" s="148"/>
      <c r="R455" s="148"/>
      <c r="S455" s="332">
        <f t="shared" si="199"/>
        <v>23</v>
      </c>
      <c r="T455" s="362">
        <v>23</v>
      </c>
      <c r="U455" s="362">
        <v>23</v>
      </c>
      <c r="V455" s="362">
        <v>0</v>
      </c>
      <c r="W455" s="148"/>
      <c r="X455" s="148"/>
      <c r="Y455" s="148"/>
      <c r="Z455" s="148" t="s">
        <v>53</v>
      </c>
      <c r="AA455" s="148"/>
      <c r="AB455" s="148"/>
      <c r="AC455" s="148"/>
      <c r="AD455" s="148"/>
      <c r="AE455" s="148"/>
      <c r="AF455" s="148"/>
      <c r="AG455" s="134" t="s">
        <v>85</v>
      </c>
      <c r="AH455" s="134" t="s">
        <v>86</v>
      </c>
      <c r="AI455" s="148"/>
      <c r="AJ455" s="148"/>
      <c r="AK455" s="148"/>
      <c r="AL455" s="148" t="s">
        <v>57</v>
      </c>
      <c r="AM455" s="148"/>
      <c r="AN455" s="148"/>
      <c r="AO455" s="148"/>
      <c r="AP455" s="148"/>
      <c r="AQ455" s="148"/>
      <c r="AR455" s="135">
        <f>COUNTIF(B:B,B455)</f>
        <v>1</v>
      </c>
      <c r="AS455" s="135" t="str">
        <f t="shared" si="168"/>
        <v>2021_05_03_a</v>
      </c>
      <c r="AT455" s="136"/>
      <c r="AU455" s="135" t="str">
        <f t="shared" si="169"/>
        <v>2021</v>
      </c>
      <c r="AV455" s="135" t="str">
        <f t="shared" si="170"/>
        <v>05</v>
      </c>
      <c r="AW455" s="135" t="str">
        <f t="shared" si="171"/>
        <v>03</v>
      </c>
      <c r="AX455" s="135">
        <f t="shared" si="172"/>
        <v>44319</v>
      </c>
      <c r="AY455" s="137"/>
      <c r="AZ455" s="138">
        <f t="shared" si="173"/>
        <v>44319</v>
      </c>
      <c r="BA455" s="135" t="b">
        <f t="shared" si="174"/>
        <v>1</v>
      </c>
      <c r="BB455" s="135">
        <f t="shared" si="175"/>
        <v>44319</v>
      </c>
      <c r="BC455" s="135" t="str">
        <f t="shared" si="176"/>
        <v>no</v>
      </c>
      <c r="BD455" s="135" t="b">
        <f t="shared" si="177"/>
        <v>0</v>
      </c>
      <c r="BE455" s="139" t="s">
        <v>59</v>
      </c>
      <c r="BF455" s="130"/>
      <c r="BG455" s="148"/>
    </row>
    <row r="456" spans="1:59" s="148" customFormat="1" ht="24" customHeight="1">
      <c r="A456" s="204"/>
      <c r="B456" s="211" t="s">
        <v>1094</v>
      </c>
      <c r="C456" s="206"/>
      <c r="D456" s="214">
        <v>10100993</v>
      </c>
      <c r="E456" s="207"/>
      <c r="F456" s="201" t="s">
        <v>1009</v>
      </c>
      <c r="G456" s="236">
        <v>44354</v>
      </c>
      <c r="H456" s="237">
        <v>44354</v>
      </c>
      <c r="I456" s="150"/>
      <c r="J456" s="238">
        <v>44368</v>
      </c>
      <c r="K456" s="202"/>
      <c r="L456" s="150"/>
      <c r="M456" s="150"/>
      <c r="N456" s="150"/>
      <c r="O456" s="150"/>
      <c r="P456" s="150"/>
      <c r="S456" s="332">
        <f t="shared" si="199"/>
        <v>37</v>
      </c>
      <c r="T456" s="367">
        <v>37</v>
      </c>
      <c r="U456" s="367">
        <v>37</v>
      </c>
      <c r="V456" s="367">
        <v>0</v>
      </c>
      <c r="Z456" s="148" t="s">
        <v>53</v>
      </c>
      <c r="AG456" s="134" t="s">
        <v>85</v>
      </c>
      <c r="AH456" s="134" t="s">
        <v>86</v>
      </c>
      <c r="AL456" s="148" t="s">
        <v>57</v>
      </c>
      <c r="AR456" s="135">
        <f>COUNTIF(B:B,B456)</f>
        <v>1</v>
      </c>
      <c r="AS456" s="135" t="str">
        <f t="shared" si="168"/>
        <v>2021_06_07_a</v>
      </c>
      <c r="AT456" s="136"/>
      <c r="AU456" s="135" t="str">
        <f t="shared" si="169"/>
        <v>2021</v>
      </c>
      <c r="AV456" s="135" t="str">
        <f t="shared" si="170"/>
        <v>06</v>
      </c>
      <c r="AW456" s="135" t="str">
        <f t="shared" si="171"/>
        <v>07</v>
      </c>
      <c r="AX456" s="135">
        <f t="shared" si="172"/>
        <v>44354</v>
      </c>
      <c r="AY456" s="137"/>
      <c r="AZ456" s="138">
        <f t="shared" si="173"/>
        <v>44354</v>
      </c>
      <c r="BA456" s="135" t="b">
        <f t="shared" si="174"/>
        <v>1</v>
      </c>
      <c r="BB456" s="135">
        <f t="shared" si="175"/>
        <v>44354</v>
      </c>
      <c r="BC456" s="135" t="str">
        <f t="shared" si="176"/>
        <v>no</v>
      </c>
      <c r="BD456" s="135" t="b">
        <f t="shared" si="177"/>
        <v>0</v>
      </c>
      <c r="BE456" s="139" t="s">
        <v>59</v>
      </c>
      <c r="BF456" s="130"/>
    </row>
    <row r="457" spans="1:59" s="148" customFormat="1" ht="24" customHeight="1">
      <c r="A457" s="204"/>
      <c r="B457" s="211" t="s">
        <v>1095</v>
      </c>
      <c r="C457" s="206"/>
      <c r="D457" s="364">
        <v>10103243</v>
      </c>
      <c r="E457" s="207"/>
      <c r="F457" s="201" t="s">
        <v>1009</v>
      </c>
      <c r="G457" s="236">
        <v>44389</v>
      </c>
      <c r="H457" s="237">
        <v>44389</v>
      </c>
      <c r="I457" s="150"/>
      <c r="J457" s="238">
        <v>44403</v>
      </c>
      <c r="K457" s="150"/>
      <c r="L457" s="150"/>
      <c r="M457" s="150"/>
      <c r="N457" s="150"/>
      <c r="O457" s="150"/>
      <c r="P457" s="150"/>
      <c r="S457" s="332">
        <f t="shared" si="199"/>
        <v>35</v>
      </c>
      <c r="T457" s="360">
        <v>35</v>
      </c>
      <c r="U457" s="360">
        <v>35</v>
      </c>
      <c r="V457" s="368">
        <v>0</v>
      </c>
      <c r="Z457" s="148" t="s">
        <v>53</v>
      </c>
      <c r="AG457" s="134" t="s">
        <v>85</v>
      </c>
      <c r="AH457" s="134" t="s">
        <v>86</v>
      </c>
      <c r="AL457" s="148" t="s">
        <v>57</v>
      </c>
      <c r="AR457" s="135">
        <f>COUNTIF(B:B,B457)</f>
        <v>1</v>
      </c>
      <c r="AS457" s="135" t="str">
        <f t="shared" si="168"/>
        <v>2021_07_12_a</v>
      </c>
      <c r="AT457" s="136"/>
      <c r="AU457" s="135" t="str">
        <f t="shared" si="169"/>
        <v>2021</v>
      </c>
      <c r="AV457" s="135" t="str">
        <f t="shared" si="170"/>
        <v>07</v>
      </c>
      <c r="AW457" s="135" t="str">
        <f t="shared" si="171"/>
        <v>12</v>
      </c>
      <c r="AX457" s="135">
        <f t="shared" si="172"/>
        <v>44389</v>
      </c>
      <c r="AY457" s="137"/>
      <c r="AZ457" s="138">
        <f t="shared" si="173"/>
        <v>44389</v>
      </c>
      <c r="BA457" s="135" t="b">
        <f t="shared" si="174"/>
        <v>1</v>
      </c>
      <c r="BB457" s="135">
        <f t="shared" si="175"/>
        <v>44389</v>
      </c>
      <c r="BC457" s="135" t="str">
        <f t="shared" si="176"/>
        <v>no</v>
      </c>
      <c r="BD457" s="135" t="b">
        <f t="shared" si="177"/>
        <v>0</v>
      </c>
      <c r="BE457" s="139" t="s">
        <v>59</v>
      </c>
      <c r="BF457" s="130"/>
    </row>
    <row r="458" spans="1:59" s="197" customFormat="1" ht="24" customHeight="1">
      <c r="A458" s="204"/>
      <c r="B458" s="211" t="s">
        <v>1096</v>
      </c>
      <c r="C458" s="206"/>
      <c r="D458" s="364">
        <v>10103942</v>
      </c>
      <c r="E458" s="207"/>
      <c r="F458" s="201" t="s">
        <v>1009</v>
      </c>
      <c r="G458" s="236">
        <v>44417</v>
      </c>
      <c r="H458" s="237">
        <v>44417</v>
      </c>
      <c r="I458" s="150"/>
      <c r="J458" s="237">
        <v>44431</v>
      </c>
      <c r="K458" s="150"/>
      <c r="L458" s="150"/>
      <c r="M458" s="150"/>
      <c r="N458" s="150"/>
      <c r="O458" s="150"/>
      <c r="P458" s="150"/>
      <c r="Q458" s="148"/>
      <c r="R458" s="148"/>
      <c r="S458" s="332">
        <f t="shared" si="199"/>
        <v>66</v>
      </c>
      <c r="T458" s="369">
        <v>66</v>
      </c>
      <c r="U458" s="369">
        <v>66</v>
      </c>
      <c r="V458" s="368">
        <v>0</v>
      </c>
      <c r="W458" s="148"/>
      <c r="X458" s="148"/>
      <c r="Y458" s="148"/>
      <c r="Z458" s="148" t="s">
        <v>53</v>
      </c>
      <c r="AA458" s="148"/>
      <c r="AB458" s="148"/>
      <c r="AC458" s="148"/>
      <c r="AD458" s="148"/>
      <c r="AE458" s="148"/>
      <c r="AF458" s="148"/>
      <c r="AG458" s="134" t="s">
        <v>85</v>
      </c>
      <c r="AH458" s="134" t="s">
        <v>86</v>
      </c>
      <c r="AI458" s="148"/>
      <c r="AJ458" s="148"/>
      <c r="AK458" s="148"/>
      <c r="AL458" s="148" t="s">
        <v>57</v>
      </c>
      <c r="AM458" s="148"/>
      <c r="AN458" s="148"/>
      <c r="AO458" s="148"/>
      <c r="AP458" s="148"/>
      <c r="AQ458" s="148"/>
      <c r="AR458" s="135">
        <f>COUNTIF(B:B,B458)</f>
        <v>1</v>
      </c>
      <c r="AS458" s="135" t="str">
        <f t="shared" si="168"/>
        <v>2021_08_09_a</v>
      </c>
      <c r="AT458" s="136"/>
      <c r="AU458" s="135" t="str">
        <f t="shared" si="169"/>
        <v>2021</v>
      </c>
      <c r="AV458" s="135" t="str">
        <f t="shared" si="170"/>
        <v>08</v>
      </c>
      <c r="AW458" s="135" t="str">
        <f t="shared" si="171"/>
        <v>09</v>
      </c>
      <c r="AX458" s="135">
        <f t="shared" si="172"/>
        <v>44417</v>
      </c>
      <c r="AY458" s="137"/>
      <c r="AZ458" s="138">
        <f t="shared" si="173"/>
        <v>44417</v>
      </c>
      <c r="BA458" s="135" t="b">
        <f t="shared" si="174"/>
        <v>1</v>
      </c>
      <c r="BB458" s="135">
        <f t="shared" si="175"/>
        <v>44417</v>
      </c>
      <c r="BC458" s="135" t="str">
        <f t="shared" si="176"/>
        <v>no</v>
      </c>
      <c r="BD458" s="135" t="b">
        <f t="shared" si="177"/>
        <v>0</v>
      </c>
      <c r="BE458" s="139" t="s">
        <v>59</v>
      </c>
      <c r="BF458" s="130"/>
      <c r="BG458" s="148"/>
    </row>
    <row r="459" spans="1:59" s="148" customFormat="1" ht="24" customHeight="1">
      <c r="A459" s="204"/>
      <c r="B459" s="211" t="s">
        <v>1097</v>
      </c>
      <c r="C459" s="206"/>
      <c r="D459" s="364" t="s">
        <v>1098</v>
      </c>
      <c r="E459" s="207"/>
      <c r="F459" s="201" t="s">
        <v>1009</v>
      </c>
      <c r="G459" s="236">
        <v>44466</v>
      </c>
      <c r="H459" s="236">
        <v>44466</v>
      </c>
      <c r="I459" s="150"/>
      <c r="J459" s="238">
        <v>44480</v>
      </c>
      <c r="K459" s="150"/>
      <c r="L459" s="150"/>
      <c r="M459" s="150"/>
      <c r="N459" s="150"/>
      <c r="O459" s="150"/>
      <c r="P459" s="150"/>
      <c r="S459" s="332">
        <f t="shared" si="199"/>
        <v>29</v>
      </c>
      <c r="T459" s="369">
        <v>29</v>
      </c>
      <c r="U459" s="369">
        <v>29</v>
      </c>
      <c r="V459" s="368">
        <v>0</v>
      </c>
      <c r="Z459" s="148" t="s">
        <v>53</v>
      </c>
      <c r="AG459" s="134" t="s">
        <v>85</v>
      </c>
      <c r="AH459" s="134" t="s">
        <v>86</v>
      </c>
      <c r="AL459" s="148" t="s">
        <v>57</v>
      </c>
      <c r="AR459" s="135">
        <f>COUNTIF(B:B,B459)</f>
        <v>1</v>
      </c>
      <c r="AS459" s="135" t="str">
        <f t="shared" si="168"/>
        <v>2021_09_27_a</v>
      </c>
      <c r="AT459" s="136"/>
      <c r="AU459" s="135" t="str">
        <f t="shared" si="169"/>
        <v>2021</v>
      </c>
      <c r="AV459" s="135" t="str">
        <f t="shared" si="170"/>
        <v>09</v>
      </c>
      <c r="AW459" s="135" t="str">
        <f t="shared" si="171"/>
        <v>27</v>
      </c>
      <c r="AX459" s="135">
        <f t="shared" si="172"/>
        <v>44466</v>
      </c>
      <c r="AY459" s="137"/>
      <c r="AZ459" s="138">
        <f t="shared" si="173"/>
        <v>44466</v>
      </c>
      <c r="BA459" s="135" t="b">
        <f t="shared" si="174"/>
        <v>1</v>
      </c>
      <c r="BB459" s="135">
        <f t="shared" si="175"/>
        <v>44466</v>
      </c>
      <c r="BC459" s="135" t="str">
        <f t="shared" si="176"/>
        <v>no</v>
      </c>
      <c r="BD459" s="135" t="b">
        <f t="shared" si="177"/>
        <v>0</v>
      </c>
      <c r="BE459" s="139" t="s">
        <v>59</v>
      </c>
      <c r="BF459" s="130"/>
    </row>
    <row r="460" spans="1:59" s="148" customFormat="1" ht="24" customHeight="1">
      <c r="A460" s="204"/>
      <c r="B460" s="211" t="s">
        <v>1099</v>
      </c>
      <c r="C460" s="206"/>
      <c r="D460" s="364">
        <v>10217367</v>
      </c>
      <c r="E460" s="207"/>
      <c r="F460" s="201" t="s">
        <v>1009</v>
      </c>
      <c r="G460" s="236">
        <v>44494</v>
      </c>
      <c r="H460" s="237">
        <v>44494</v>
      </c>
      <c r="I460" s="150"/>
      <c r="J460" s="238">
        <v>44508</v>
      </c>
      <c r="K460" s="150"/>
      <c r="L460" s="150"/>
      <c r="M460" s="150"/>
      <c r="N460" s="150"/>
      <c r="O460" s="150"/>
      <c r="P460" s="150"/>
      <c r="S460" s="332">
        <f t="shared" si="199"/>
        <v>12</v>
      </c>
      <c r="T460" s="369">
        <v>12</v>
      </c>
      <c r="U460" s="369">
        <v>12</v>
      </c>
      <c r="V460" s="368">
        <v>0</v>
      </c>
      <c r="Z460" s="148" t="s">
        <v>53</v>
      </c>
      <c r="AG460" s="134" t="s">
        <v>85</v>
      </c>
      <c r="AH460" s="134" t="s">
        <v>86</v>
      </c>
      <c r="AL460" s="148" t="s">
        <v>57</v>
      </c>
      <c r="AR460" s="135">
        <f>COUNTIF(B:B,B460)</f>
        <v>1</v>
      </c>
      <c r="AS460" s="135" t="str">
        <f t="shared" si="168"/>
        <v>2021_10_25_a</v>
      </c>
      <c r="AT460" s="136"/>
      <c r="AU460" s="135" t="str">
        <f t="shared" si="169"/>
        <v>2021</v>
      </c>
      <c r="AV460" s="135" t="str">
        <f t="shared" si="170"/>
        <v>10</v>
      </c>
      <c r="AW460" s="135" t="str">
        <f t="shared" si="171"/>
        <v>25</v>
      </c>
      <c r="AX460" s="135">
        <f t="shared" si="172"/>
        <v>44494</v>
      </c>
      <c r="AY460" s="137"/>
      <c r="AZ460" s="138">
        <f t="shared" si="173"/>
        <v>44494</v>
      </c>
      <c r="BA460" s="135" t="b">
        <f t="shared" si="174"/>
        <v>1</v>
      </c>
      <c r="BB460" s="135">
        <f t="shared" si="175"/>
        <v>44494</v>
      </c>
      <c r="BC460" s="135" t="str">
        <f t="shared" si="176"/>
        <v>no</v>
      </c>
      <c r="BD460" s="135" t="b">
        <f t="shared" si="177"/>
        <v>0</v>
      </c>
      <c r="BE460" s="139" t="s">
        <v>59</v>
      </c>
      <c r="BF460" s="130"/>
    </row>
    <row r="461" spans="1:59" s="148" customFormat="1" ht="24" customHeight="1">
      <c r="A461" s="204"/>
      <c r="B461" s="215" t="s">
        <v>1100</v>
      </c>
      <c r="C461" s="206"/>
      <c r="D461" s="214" t="s">
        <v>971</v>
      </c>
      <c r="E461" s="207"/>
      <c r="F461" s="226" t="s">
        <v>1009</v>
      </c>
      <c r="G461" s="234">
        <v>44597</v>
      </c>
      <c r="H461" s="234">
        <v>44597</v>
      </c>
      <c r="I461" s="208"/>
      <c r="J461" s="235">
        <v>44597</v>
      </c>
      <c r="K461" s="209"/>
      <c r="L461" s="209"/>
      <c r="M461" s="209"/>
      <c r="N461" s="209"/>
      <c r="O461" s="209"/>
      <c r="P461" s="209"/>
      <c r="Q461" s="134"/>
      <c r="R461" s="134"/>
      <c r="S461" s="332">
        <f t="shared" si="199"/>
        <v>4</v>
      </c>
      <c r="T461" s="360">
        <v>4</v>
      </c>
      <c r="U461" s="360">
        <v>4</v>
      </c>
      <c r="V461" s="368">
        <v>0</v>
      </c>
      <c r="W461" s="134"/>
      <c r="X461" s="147"/>
      <c r="Y461" s="147"/>
      <c r="Z461" s="134"/>
      <c r="AA461" s="134"/>
      <c r="AB461" s="134"/>
      <c r="AC461" s="134"/>
      <c r="AD461" s="210"/>
      <c r="AE461" s="130"/>
      <c r="AF461" s="130"/>
      <c r="AG461" s="332" t="s">
        <v>85</v>
      </c>
      <c r="AH461" s="134" t="s">
        <v>86</v>
      </c>
      <c r="AI461" s="134"/>
      <c r="AM461" s="197" t="s">
        <v>972</v>
      </c>
      <c r="AR461" s="135">
        <f>COUNTIF(B:B,B461)</f>
        <v>1</v>
      </c>
      <c r="AS461" s="135" t="str">
        <f t="shared" si="168"/>
        <v>2022_02_05_a</v>
      </c>
      <c r="AT461" s="136"/>
      <c r="AU461" s="135" t="str">
        <f t="shared" si="169"/>
        <v>2022</v>
      </c>
      <c r="AV461" s="135" t="str">
        <f t="shared" si="170"/>
        <v>02</v>
      </c>
      <c r="AW461" s="135" t="str">
        <f t="shared" si="171"/>
        <v>05</v>
      </c>
      <c r="AX461" s="135">
        <f t="shared" si="172"/>
        <v>44597</v>
      </c>
      <c r="AY461" s="137"/>
      <c r="AZ461" s="138">
        <f t="shared" si="173"/>
        <v>44597</v>
      </c>
      <c r="BA461" s="135" t="b">
        <f t="shared" si="174"/>
        <v>1</v>
      </c>
      <c r="BB461" s="135" t="str">
        <f t="shared" si="175"/>
        <v xml:space="preserve"> </v>
      </c>
      <c r="BC461" s="135" t="str">
        <f t="shared" si="176"/>
        <v>yes</v>
      </c>
      <c r="BD461" s="135" t="b">
        <f t="shared" si="177"/>
        <v>0</v>
      </c>
      <c r="BE461" s="139" t="s">
        <v>59</v>
      </c>
      <c r="BF461" s="130"/>
    </row>
    <row r="462" spans="1:59" s="199" customFormat="1" ht="24" customHeight="1">
      <c r="A462" s="148"/>
      <c r="B462" s="240" t="s">
        <v>1101</v>
      </c>
      <c r="C462" s="148"/>
      <c r="D462" s="364">
        <v>10235825</v>
      </c>
      <c r="E462" s="148"/>
      <c r="F462" s="201" t="s">
        <v>1009</v>
      </c>
      <c r="G462" s="202">
        <v>44606</v>
      </c>
      <c r="H462" s="202">
        <v>44606</v>
      </c>
      <c r="I462" s="150"/>
      <c r="J462" s="202">
        <v>44620</v>
      </c>
      <c r="K462" s="150"/>
      <c r="L462" s="150"/>
      <c r="M462" s="150"/>
      <c r="N462" s="150"/>
      <c r="O462" s="150"/>
      <c r="P462" s="150"/>
      <c r="Q462" s="148"/>
      <c r="R462" s="148"/>
      <c r="S462" s="332">
        <f t="shared" si="199"/>
        <v>47</v>
      </c>
      <c r="T462" s="369">
        <v>47</v>
      </c>
      <c r="U462" s="369">
        <v>47</v>
      </c>
      <c r="V462" s="368">
        <v>0</v>
      </c>
      <c r="W462" s="148"/>
      <c r="X462" s="148"/>
      <c r="Y462" s="148"/>
      <c r="Z462" s="148" t="s">
        <v>53</v>
      </c>
      <c r="AA462" s="148"/>
      <c r="AB462" s="148"/>
      <c r="AC462" s="148"/>
      <c r="AD462" s="148"/>
      <c r="AE462" s="148"/>
      <c r="AF462" s="148"/>
      <c r="AG462" s="134" t="s">
        <v>85</v>
      </c>
      <c r="AH462" s="134" t="s">
        <v>86</v>
      </c>
      <c r="AI462" s="148"/>
      <c r="AJ462" s="148"/>
      <c r="AK462" s="148"/>
      <c r="AL462" s="148" t="s">
        <v>57</v>
      </c>
      <c r="AM462" s="148"/>
      <c r="AN462" s="148"/>
      <c r="AO462" s="148"/>
      <c r="AP462" s="148"/>
      <c r="AQ462" s="148"/>
      <c r="AR462" s="135">
        <f>COUNTIF(B:B,B462)</f>
        <v>1</v>
      </c>
      <c r="AS462" s="135" t="str">
        <f t="shared" si="168"/>
        <v>2022_02_14_a</v>
      </c>
      <c r="AT462" s="136"/>
      <c r="AU462" s="135" t="str">
        <f t="shared" si="169"/>
        <v>2022</v>
      </c>
      <c r="AV462" s="135" t="str">
        <f t="shared" si="170"/>
        <v>02</v>
      </c>
      <c r="AW462" s="135" t="str">
        <f t="shared" si="171"/>
        <v>14</v>
      </c>
      <c r="AX462" s="135">
        <f t="shared" si="172"/>
        <v>44606</v>
      </c>
      <c r="AY462" s="137"/>
      <c r="AZ462" s="138">
        <f t="shared" si="173"/>
        <v>44606</v>
      </c>
      <c r="BA462" s="135" t="b">
        <f t="shared" si="174"/>
        <v>1</v>
      </c>
      <c r="BB462" s="135">
        <f t="shared" si="175"/>
        <v>44606</v>
      </c>
      <c r="BC462" s="135" t="str">
        <f t="shared" si="176"/>
        <v>no</v>
      </c>
      <c r="BD462" s="135" t="b">
        <f t="shared" si="177"/>
        <v>0</v>
      </c>
      <c r="BE462" s="139" t="s">
        <v>59</v>
      </c>
      <c r="BF462" s="130"/>
      <c r="BG462" s="148"/>
    </row>
    <row r="463" spans="1:59" s="148" customFormat="1" ht="24" customHeight="1">
      <c r="B463" s="197" t="s">
        <v>1102</v>
      </c>
      <c r="D463" s="364" t="s">
        <v>971</v>
      </c>
      <c r="F463" s="226" t="s">
        <v>1009</v>
      </c>
      <c r="G463" s="208">
        <v>44607</v>
      </c>
      <c r="H463" s="208">
        <v>44607</v>
      </c>
      <c r="I463" s="208"/>
      <c r="J463" s="208">
        <v>44607</v>
      </c>
      <c r="K463" s="209"/>
      <c r="L463" s="209"/>
      <c r="M463" s="209"/>
      <c r="N463" s="209"/>
      <c r="O463" s="209"/>
      <c r="P463" s="209"/>
      <c r="Q463" s="134"/>
      <c r="R463" s="134"/>
      <c r="S463" s="332">
        <f t="shared" si="199"/>
        <v>2</v>
      </c>
      <c r="T463" s="369">
        <v>2</v>
      </c>
      <c r="U463" s="369">
        <v>2</v>
      </c>
      <c r="V463" s="368">
        <v>0</v>
      </c>
      <c r="W463" s="134"/>
      <c r="X463" s="147"/>
      <c r="Y463" s="147"/>
      <c r="Z463" s="134"/>
      <c r="AA463" s="134"/>
      <c r="AB463" s="134"/>
      <c r="AC463" s="134"/>
      <c r="AD463" s="210"/>
      <c r="AE463" s="130"/>
      <c r="AF463" s="130"/>
      <c r="AG463" s="332" t="s">
        <v>85</v>
      </c>
      <c r="AH463" s="134" t="s">
        <v>86</v>
      </c>
      <c r="AI463" s="134"/>
      <c r="AM463" s="197" t="s">
        <v>972</v>
      </c>
      <c r="AR463" s="135">
        <f>COUNTIF(B:B,B463)</f>
        <v>1</v>
      </c>
      <c r="AS463" s="135" t="str">
        <f t="shared" si="168"/>
        <v>2022_02_15_a</v>
      </c>
      <c r="AT463" s="136"/>
      <c r="AU463" s="135" t="str">
        <f t="shared" si="169"/>
        <v>2022</v>
      </c>
      <c r="AV463" s="135" t="str">
        <f t="shared" si="170"/>
        <v>02</v>
      </c>
      <c r="AW463" s="135" t="str">
        <f t="shared" si="171"/>
        <v>15</v>
      </c>
      <c r="AX463" s="135">
        <f t="shared" si="172"/>
        <v>44607</v>
      </c>
      <c r="AY463" s="137"/>
      <c r="AZ463" s="138">
        <f t="shared" si="173"/>
        <v>44607</v>
      </c>
      <c r="BA463" s="135" t="b">
        <f t="shared" si="174"/>
        <v>1</v>
      </c>
      <c r="BB463" s="135" t="str">
        <f t="shared" si="175"/>
        <v xml:space="preserve"> </v>
      </c>
      <c r="BC463" s="135" t="str">
        <f t="shared" si="176"/>
        <v>yes</v>
      </c>
      <c r="BD463" s="135" t="b">
        <f t="shared" si="177"/>
        <v>0</v>
      </c>
      <c r="BE463" s="139" t="s">
        <v>59</v>
      </c>
      <c r="BF463" s="130"/>
    </row>
    <row r="464" spans="1:59" s="148" customFormat="1" ht="24" customHeight="1">
      <c r="B464" s="227" t="s">
        <v>1103</v>
      </c>
      <c r="D464" s="364">
        <v>10235799</v>
      </c>
      <c r="F464" s="201" t="s">
        <v>1009</v>
      </c>
      <c r="G464" s="202">
        <v>44627</v>
      </c>
      <c r="H464" s="202">
        <v>44627</v>
      </c>
      <c r="I464" s="150"/>
      <c r="J464" s="202">
        <v>44641</v>
      </c>
      <c r="K464" s="150"/>
      <c r="L464" s="150"/>
      <c r="M464" s="150"/>
      <c r="N464" s="150"/>
      <c r="O464" s="150"/>
      <c r="P464" s="150"/>
      <c r="S464" s="332">
        <f t="shared" si="199"/>
        <v>24</v>
      </c>
      <c r="T464" s="363">
        <v>24</v>
      </c>
      <c r="U464" s="363">
        <v>24</v>
      </c>
      <c r="V464" s="363">
        <v>0</v>
      </c>
      <c r="Z464" s="148" t="s">
        <v>53</v>
      </c>
      <c r="AG464" s="134" t="s">
        <v>85</v>
      </c>
      <c r="AH464" s="134" t="s">
        <v>86</v>
      </c>
      <c r="AL464" s="148" t="s">
        <v>57</v>
      </c>
      <c r="AR464" s="135">
        <f>COUNTIF(B:B,B464)</f>
        <v>1</v>
      </c>
      <c r="AS464" s="135" t="str">
        <f t="shared" si="168"/>
        <v>2022_03_07_a</v>
      </c>
      <c r="AT464" s="136"/>
      <c r="AU464" s="135" t="str">
        <f t="shared" si="169"/>
        <v>2022</v>
      </c>
      <c r="AV464" s="135" t="str">
        <f t="shared" si="170"/>
        <v>03</v>
      </c>
      <c r="AW464" s="135" t="str">
        <f t="shared" si="171"/>
        <v>07</v>
      </c>
      <c r="AX464" s="135">
        <f t="shared" si="172"/>
        <v>44627</v>
      </c>
      <c r="AY464" s="137"/>
      <c r="AZ464" s="138">
        <f t="shared" si="173"/>
        <v>44627</v>
      </c>
      <c r="BA464" s="135" t="b">
        <f t="shared" si="174"/>
        <v>1</v>
      </c>
      <c r="BB464" s="135">
        <f t="shared" si="175"/>
        <v>44627</v>
      </c>
      <c r="BC464" s="135" t="str">
        <f t="shared" si="176"/>
        <v>no</v>
      </c>
      <c r="BD464" s="135" t="b">
        <f t="shared" si="177"/>
        <v>0</v>
      </c>
      <c r="BE464" s="139" t="s">
        <v>59</v>
      </c>
      <c r="BF464" s="130"/>
    </row>
    <row r="465" spans="1:59" s="148" customFormat="1" ht="24" customHeight="1">
      <c r="A465" s="197"/>
      <c r="B465" s="197" t="s">
        <v>1104</v>
      </c>
      <c r="C465" s="197"/>
      <c r="D465" s="364" t="s">
        <v>971</v>
      </c>
      <c r="E465" s="197"/>
      <c r="F465" s="152" t="s">
        <v>1009</v>
      </c>
      <c r="G465" s="220">
        <v>44655</v>
      </c>
      <c r="H465" s="220">
        <v>44655</v>
      </c>
      <c r="I465" s="220"/>
      <c r="J465" s="220">
        <v>44672</v>
      </c>
      <c r="K465" s="220"/>
      <c r="L465" s="221"/>
      <c r="M465" s="221"/>
      <c r="N465" s="221"/>
      <c r="O465" s="221"/>
      <c r="P465" s="221"/>
      <c r="Q465" s="197"/>
      <c r="R465" s="197"/>
      <c r="S465" s="332">
        <f t="shared" si="199"/>
        <v>2</v>
      </c>
      <c r="T465" s="363">
        <v>2</v>
      </c>
      <c r="U465" s="363">
        <v>2</v>
      </c>
      <c r="V465" s="363">
        <v>0</v>
      </c>
      <c r="W465" s="197"/>
      <c r="X465" s="197"/>
      <c r="Y465" s="197"/>
      <c r="Z465" s="197"/>
      <c r="AA465" s="197"/>
      <c r="AB465" s="197"/>
      <c r="AC465" s="197"/>
      <c r="AD465" s="197"/>
      <c r="AE465" s="197"/>
      <c r="AF465" s="197"/>
      <c r="AG465" s="332" t="s">
        <v>85</v>
      </c>
      <c r="AH465" s="197" t="s">
        <v>86</v>
      </c>
      <c r="AI465" s="197"/>
      <c r="AJ465" s="197"/>
      <c r="AK465" s="197"/>
      <c r="AL465" s="197"/>
      <c r="AM465" s="197" t="s">
        <v>972</v>
      </c>
      <c r="AN465" s="197"/>
      <c r="AO465" s="197"/>
      <c r="AP465" s="197"/>
      <c r="AQ465" s="197"/>
      <c r="AR465" s="135">
        <f>COUNTIF(B:B,B465)</f>
        <v>1</v>
      </c>
      <c r="AS465" s="135" t="str">
        <f t="shared" si="168"/>
        <v>2022_04_04_a</v>
      </c>
      <c r="AT465" s="136"/>
      <c r="AU465" s="135" t="str">
        <f t="shared" si="169"/>
        <v>2022</v>
      </c>
      <c r="AV465" s="135" t="str">
        <f t="shared" si="170"/>
        <v>04</v>
      </c>
      <c r="AW465" s="135" t="str">
        <f t="shared" si="171"/>
        <v>04</v>
      </c>
      <c r="AX465" s="135">
        <f t="shared" si="172"/>
        <v>44655</v>
      </c>
      <c r="AY465" s="137"/>
      <c r="AZ465" s="138">
        <f t="shared" si="173"/>
        <v>44655</v>
      </c>
      <c r="BA465" s="135" t="b">
        <f t="shared" si="174"/>
        <v>1</v>
      </c>
      <c r="BB465" s="135" t="str">
        <f t="shared" si="175"/>
        <v xml:space="preserve"> </v>
      </c>
      <c r="BC465" s="135" t="str">
        <f t="shared" si="176"/>
        <v>yes</v>
      </c>
      <c r="BD465" s="135" t="b">
        <f t="shared" si="177"/>
        <v>0</v>
      </c>
      <c r="BE465" s="139" t="s">
        <v>59</v>
      </c>
      <c r="BF465" s="197"/>
      <c r="BG465" s="197"/>
    </row>
    <row r="466" spans="1:59" s="148" customFormat="1" ht="24" customHeight="1">
      <c r="B466" s="227" t="s">
        <v>1105</v>
      </c>
      <c r="D466" s="364">
        <v>10255304</v>
      </c>
      <c r="F466" s="201" t="s">
        <v>1009</v>
      </c>
      <c r="G466" s="202">
        <v>44690</v>
      </c>
      <c r="H466" s="202">
        <v>44690</v>
      </c>
      <c r="I466" s="150"/>
      <c r="J466" s="202">
        <v>44704</v>
      </c>
      <c r="K466" s="150"/>
      <c r="L466" s="150"/>
      <c r="M466" s="150"/>
      <c r="N466" s="150"/>
      <c r="O466" s="150"/>
      <c r="P466" s="150"/>
      <c r="S466" s="332">
        <f t="shared" si="199"/>
        <v>25</v>
      </c>
      <c r="T466" s="363">
        <v>25</v>
      </c>
      <c r="U466" s="363">
        <v>25</v>
      </c>
      <c r="V466" s="363">
        <v>0</v>
      </c>
      <c r="Z466" s="148" t="s">
        <v>53</v>
      </c>
      <c r="AG466" s="134" t="s">
        <v>85</v>
      </c>
      <c r="AH466" s="134" t="s">
        <v>86</v>
      </c>
      <c r="AL466" s="148" t="s">
        <v>57</v>
      </c>
      <c r="AR466" s="135">
        <f>COUNTIF(B:B,B466)</f>
        <v>1</v>
      </c>
      <c r="AS466" s="135" t="str">
        <f t="shared" si="168"/>
        <v>2022_05_09_a</v>
      </c>
      <c r="AT466" s="136"/>
      <c r="AU466" s="135" t="str">
        <f t="shared" si="169"/>
        <v>2022</v>
      </c>
      <c r="AV466" s="135" t="str">
        <f t="shared" si="170"/>
        <v>05</v>
      </c>
      <c r="AW466" s="135" t="str">
        <f t="shared" si="171"/>
        <v>09</v>
      </c>
      <c r="AX466" s="135">
        <f t="shared" si="172"/>
        <v>44690</v>
      </c>
      <c r="AY466" s="137"/>
      <c r="AZ466" s="138">
        <f t="shared" si="173"/>
        <v>44690</v>
      </c>
      <c r="BA466" s="135" t="b">
        <f t="shared" si="174"/>
        <v>1</v>
      </c>
      <c r="BB466" s="135">
        <f t="shared" si="175"/>
        <v>44690</v>
      </c>
      <c r="BC466" s="135" t="str">
        <f t="shared" si="176"/>
        <v>no</v>
      </c>
      <c r="BD466" s="135" t="b">
        <f t="shared" si="177"/>
        <v>0</v>
      </c>
      <c r="BE466" s="139" t="s">
        <v>59</v>
      </c>
      <c r="BF466" s="130"/>
    </row>
    <row r="467" spans="1:59" s="148" customFormat="1" ht="24" customHeight="1">
      <c r="B467" s="227" t="s">
        <v>1106</v>
      </c>
      <c r="D467" s="364" t="s">
        <v>1107</v>
      </c>
      <c r="F467" s="201" t="s">
        <v>1009</v>
      </c>
      <c r="G467" s="202">
        <v>44725</v>
      </c>
      <c r="H467" s="202">
        <v>44725</v>
      </c>
      <c r="I467" s="150"/>
      <c r="J467" s="202">
        <v>44742</v>
      </c>
      <c r="K467" s="150"/>
      <c r="L467" s="150"/>
      <c r="M467" s="150"/>
      <c r="N467" s="150"/>
      <c r="O467" s="150"/>
      <c r="P467" s="150"/>
      <c r="S467" s="332">
        <f t="shared" si="199"/>
        <v>66</v>
      </c>
      <c r="T467" s="363">
        <v>66</v>
      </c>
      <c r="U467" s="363">
        <v>66</v>
      </c>
      <c r="V467" s="363">
        <v>0</v>
      </c>
      <c r="Z467" s="148" t="s">
        <v>53</v>
      </c>
      <c r="AG467" s="134" t="s">
        <v>85</v>
      </c>
      <c r="AH467" s="134" t="s">
        <v>86</v>
      </c>
      <c r="AL467" s="148" t="s">
        <v>57</v>
      </c>
      <c r="AR467" s="135">
        <f>COUNTIF(B:B,B467)</f>
        <v>1</v>
      </c>
      <c r="AS467" s="135" t="str">
        <f t="shared" si="168"/>
        <v>2022_06_13_a</v>
      </c>
      <c r="AT467" s="136"/>
      <c r="AU467" s="135" t="str">
        <f t="shared" si="169"/>
        <v>2022</v>
      </c>
      <c r="AV467" s="135" t="str">
        <f t="shared" si="170"/>
        <v>06</v>
      </c>
      <c r="AW467" s="135" t="str">
        <f t="shared" si="171"/>
        <v>13</v>
      </c>
      <c r="AX467" s="135">
        <f t="shared" si="172"/>
        <v>44725</v>
      </c>
      <c r="AY467" s="137"/>
      <c r="AZ467" s="138">
        <f t="shared" si="173"/>
        <v>44725</v>
      </c>
      <c r="BA467" s="135" t="b">
        <f t="shared" si="174"/>
        <v>1</v>
      </c>
      <c r="BB467" s="135">
        <f t="shared" si="175"/>
        <v>44725</v>
      </c>
      <c r="BC467" s="135" t="str">
        <f t="shared" si="176"/>
        <v>no</v>
      </c>
      <c r="BD467" s="135" t="b">
        <f t="shared" si="177"/>
        <v>0</v>
      </c>
      <c r="BE467" s="139" t="s">
        <v>59</v>
      </c>
      <c r="BF467" s="130"/>
    </row>
    <row r="468" spans="1:59" s="148" customFormat="1" ht="24" customHeight="1">
      <c r="A468" s="197"/>
      <c r="B468" s="228" t="s">
        <v>1108</v>
      </c>
      <c r="C468" s="197"/>
      <c r="D468" s="214" t="s">
        <v>971</v>
      </c>
      <c r="E468" s="197"/>
      <c r="F468" s="152" t="s">
        <v>1009</v>
      </c>
      <c r="G468" s="220">
        <v>44751</v>
      </c>
      <c r="H468" s="220">
        <v>44751</v>
      </c>
      <c r="I468" s="221"/>
      <c r="J468" s="220">
        <v>44768</v>
      </c>
      <c r="K468" s="221"/>
      <c r="L468" s="221"/>
      <c r="M468" s="221"/>
      <c r="N468" s="221"/>
      <c r="O468" s="221"/>
      <c r="P468" s="221"/>
      <c r="Q468" s="197"/>
      <c r="R468" s="197"/>
      <c r="S468" s="332">
        <f t="shared" si="199"/>
        <v>2</v>
      </c>
      <c r="T468" s="361">
        <v>2</v>
      </c>
      <c r="U468" s="361">
        <v>2</v>
      </c>
      <c r="V468" s="361">
        <v>0</v>
      </c>
      <c r="W468" s="197"/>
      <c r="X468" s="197"/>
      <c r="Y468" s="197"/>
      <c r="Z468" s="197" t="s">
        <v>53</v>
      </c>
      <c r="AA468" s="197"/>
      <c r="AB468" s="197"/>
      <c r="AC468" s="197"/>
      <c r="AD468" s="197"/>
      <c r="AE468" s="197"/>
      <c r="AF468" s="197"/>
      <c r="AG468" s="197" t="s">
        <v>85</v>
      </c>
      <c r="AH468" s="197" t="s">
        <v>86</v>
      </c>
      <c r="AI468" s="197"/>
      <c r="AJ468" s="197"/>
      <c r="AK468" s="197"/>
      <c r="AL468" s="197" t="s">
        <v>57</v>
      </c>
      <c r="AM468" s="197"/>
      <c r="AN468" s="197"/>
      <c r="AO468" s="197"/>
      <c r="AP468" s="197"/>
      <c r="AQ468" s="197"/>
      <c r="AR468" s="135">
        <f>COUNTIF(B:B,B468)</f>
        <v>1</v>
      </c>
      <c r="AS468" s="135" t="str">
        <f t="shared" si="168"/>
        <v>2022_07_09_a</v>
      </c>
      <c r="AT468" s="136"/>
      <c r="AU468" s="135" t="str">
        <f t="shared" si="169"/>
        <v>2022</v>
      </c>
      <c r="AV468" s="135" t="str">
        <f t="shared" si="170"/>
        <v>07</v>
      </c>
      <c r="AW468" s="135" t="str">
        <f t="shared" si="171"/>
        <v>09</v>
      </c>
      <c r="AX468" s="135">
        <f t="shared" si="172"/>
        <v>44751</v>
      </c>
      <c r="AY468" s="137"/>
      <c r="AZ468" s="138">
        <f t="shared" si="173"/>
        <v>44751</v>
      </c>
      <c r="BA468" s="135" t="b">
        <f t="shared" si="174"/>
        <v>1</v>
      </c>
      <c r="BB468" s="135">
        <f t="shared" si="175"/>
        <v>44751</v>
      </c>
      <c r="BC468" s="135" t="str">
        <f t="shared" si="176"/>
        <v>no</v>
      </c>
      <c r="BD468" s="135" t="b">
        <f t="shared" si="177"/>
        <v>0</v>
      </c>
      <c r="BE468" s="139" t="s">
        <v>59</v>
      </c>
      <c r="BF468" s="197"/>
      <c r="BG468" s="197"/>
    </row>
    <row r="469" spans="1:59" s="148" customFormat="1" ht="24" customHeight="1">
      <c r="B469" s="241" t="s">
        <v>1109</v>
      </c>
      <c r="C469" s="281"/>
      <c r="D469" s="214">
        <v>10283860</v>
      </c>
      <c r="E469" s="282"/>
      <c r="F469" s="242" t="s">
        <v>1009</v>
      </c>
      <c r="G469" s="243">
        <v>44760</v>
      </c>
      <c r="H469" s="243">
        <v>44760</v>
      </c>
      <c r="I469" s="244"/>
      <c r="J469" s="243">
        <v>44775</v>
      </c>
      <c r="K469" s="244"/>
      <c r="L469" s="244"/>
      <c r="M469" s="244"/>
      <c r="N469" s="244"/>
      <c r="O469" s="244"/>
      <c r="P469" s="244"/>
      <c r="Q469" s="200"/>
      <c r="R469" s="200"/>
      <c r="S469" s="332">
        <f t="shared" si="199"/>
        <v>24</v>
      </c>
      <c r="T469" s="363">
        <v>24</v>
      </c>
      <c r="U469" s="363">
        <v>24</v>
      </c>
      <c r="V469" s="363">
        <v>0</v>
      </c>
      <c r="W469" s="200"/>
      <c r="X469" s="200"/>
      <c r="Y469" s="200"/>
      <c r="Z469" s="200" t="s">
        <v>53</v>
      </c>
      <c r="AA469" s="200"/>
      <c r="AB469" s="200"/>
      <c r="AC469" s="200"/>
      <c r="AD469" s="200"/>
      <c r="AE469" s="200"/>
      <c r="AF469" s="200"/>
      <c r="AG469" s="245" t="s">
        <v>85</v>
      </c>
      <c r="AH469" s="134" t="s">
        <v>86</v>
      </c>
      <c r="AI469" s="200"/>
      <c r="AJ469" s="200"/>
      <c r="AK469" s="200"/>
      <c r="AL469" s="200" t="s">
        <v>57</v>
      </c>
      <c r="AM469" s="200"/>
      <c r="AN469" s="200"/>
      <c r="AO469" s="200"/>
      <c r="AP469" s="200"/>
      <c r="AQ469" s="200"/>
      <c r="AR469" s="135">
        <f>COUNTIF(B:B,B469)</f>
        <v>1</v>
      </c>
      <c r="AS469" s="135" t="str">
        <f t="shared" si="168"/>
        <v>2022_07_18_a</v>
      </c>
      <c r="AT469" s="136"/>
      <c r="AU469" s="135" t="str">
        <f t="shared" si="169"/>
        <v>2022</v>
      </c>
      <c r="AV469" s="135" t="str">
        <f t="shared" si="170"/>
        <v>07</v>
      </c>
      <c r="AW469" s="135" t="str">
        <f t="shared" si="171"/>
        <v>18</v>
      </c>
      <c r="AX469" s="135">
        <f t="shared" si="172"/>
        <v>44760</v>
      </c>
      <c r="AY469" s="137"/>
      <c r="AZ469" s="138">
        <f t="shared" si="173"/>
        <v>44760</v>
      </c>
      <c r="BA469" s="135" t="b">
        <f t="shared" si="174"/>
        <v>1</v>
      </c>
      <c r="BB469" s="135">
        <f t="shared" si="175"/>
        <v>44760</v>
      </c>
      <c r="BC469" s="135" t="str">
        <f t="shared" si="176"/>
        <v>no</v>
      </c>
      <c r="BD469" s="135" t="b">
        <f t="shared" si="177"/>
        <v>0</v>
      </c>
      <c r="BE469" s="139" t="s">
        <v>59</v>
      </c>
      <c r="BF469" s="130"/>
    </row>
    <row r="470" spans="1:59" s="148" customFormat="1" ht="24" customHeight="1">
      <c r="A470" s="204"/>
      <c r="B470" s="214" t="s">
        <v>1110</v>
      </c>
      <c r="C470" s="246"/>
      <c r="D470" s="364">
        <v>10283647</v>
      </c>
      <c r="E470" s="283"/>
      <c r="F470" s="247" t="s">
        <v>1009</v>
      </c>
      <c r="G470" s="236">
        <v>44760</v>
      </c>
      <c r="H470" s="248">
        <v>44760</v>
      </c>
      <c r="I470" s="249"/>
      <c r="J470" s="248">
        <v>44775</v>
      </c>
      <c r="K470" s="249"/>
      <c r="L470" s="249"/>
      <c r="M470" s="249"/>
      <c r="N470" s="249"/>
      <c r="O470" s="249"/>
      <c r="P470" s="249"/>
      <c r="Q470" s="211"/>
      <c r="R470" s="211"/>
      <c r="S470" s="332">
        <f t="shared" si="199"/>
        <v>56</v>
      </c>
      <c r="T470" s="363">
        <v>56</v>
      </c>
      <c r="U470" s="363">
        <v>56</v>
      </c>
      <c r="V470" s="363">
        <v>0</v>
      </c>
      <c r="W470" s="211"/>
      <c r="X470" s="211"/>
      <c r="Y470" s="211"/>
      <c r="Z470" s="200" t="s">
        <v>53</v>
      </c>
      <c r="AA470" s="211"/>
      <c r="AB470" s="211"/>
      <c r="AC470" s="211"/>
      <c r="AD470" s="211"/>
      <c r="AE470" s="211"/>
      <c r="AF470" s="211"/>
      <c r="AG470" s="200" t="s">
        <v>85</v>
      </c>
      <c r="AH470" s="134" t="s">
        <v>86</v>
      </c>
      <c r="AI470" s="211"/>
      <c r="AJ470" s="211"/>
      <c r="AK470" s="211"/>
      <c r="AL470" s="200" t="s">
        <v>57</v>
      </c>
      <c r="AM470" s="211"/>
      <c r="AN470" s="211"/>
      <c r="AO470" s="211"/>
      <c r="AP470" s="211"/>
      <c r="AQ470" s="211"/>
      <c r="AR470" s="135">
        <f>COUNTIF(B:B,B470)</f>
        <v>1</v>
      </c>
      <c r="AS470" s="135" t="str">
        <f t="shared" si="168"/>
        <v>2022_07_18_b</v>
      </c>
      <c r="AT470" s="136"/>
      <c r="AU470" s="135" t="str">
        <f t="shared" si="169"/>
        <v>2022</v>
      </c>
      <c r="AV470" s="135" t="str">
        <f t="shared" si="170"/>
        <v>07</v>
      </c>
      <c r="AW470" s="135" t="str">
        <f t="shared" si="171"/>
        <v>18</v>
      </c>
      <c r="AX470" s="135">
        <f t="shared" si="172"/>
        <v>44760</v>
      </c>
      <c r="AY470" s="137"/>
      <c r="AZ470" s="138">
        <f t="shared" si="173"/>
        <v>44760</v>
      </c>
      <c r="BA470" s="135" t="b">
        <f t="shared" si="174"/>
        <v>1</v>
      </c>
      <c r="BB470" s="135">
        <f t="shared" si="175"/>
        <v>44760</v>
      </c>
      <c r="BC470" s="135" t="str">
        <f t="shared" si="176"/>
        <v>no</v>
      </c>
      <c r="BD470" s="135" t="b">
        <f t="shared" si="177"/>
        <v>0</v>
      </c>
      <c r="BE470" s="139" t="s">
        <v>59</v>
      </c>
      <c r="BG470" s="207"/>
    </row>
    <row r="471" spans="1:59" s="197" customFormat="1" ht="24" customHeight="1">
      <c r="A471" s="216"/>
      <c r="B471" s="217" t="s">
        <v>1111</v>
      </c>
      <c r="C471" s="215"/>
      <c r="D471" s="364" t="s">
        <v>971</v>
      </c>
      <c r="E471" s="250"/>
      <c r="F471" s="251" t="s">
        <v>1009</v>
      </c>
      <c r="G471" s="252">
        <v>44774</v>
      </c>
      <c r="H471" s="252">
        <v>44774</v>
      </c>
      <c r="I471" s="254"/>
      <c r="J471" s="253">
        <v>44788</v>
      </c>
      <c r="K471" s="254"/>
      <c r="L471" s="254"/>
      <c r="M471" s="254"/>
      <c r="N471" s="254"/>
      <c r="O471" s="254"/>
      <c r="P471" s="254"/>
      <c r="Q471" s="215"/>
      <c r="R471" s="215"/>
      <c r="S471" s="332">
        <f t="shared" si="199"/>
        <v>1</v>
      </c>
      <c r="T471" s="363">
        <v>1</v>
      </c>
      <c r="U471" s="363">
        <v>1</v>
      </c>
      <c r="V471" s="363">
        <v>0</v>
      </c>
      <c r="W471" s="215"/>
      <c r="X471" s="215"/>
      <c r="Y471" s="215"/>
      <c r="Z471" s="255" t="s">
        <v>53</v>
      </c>
      <c r="AA471" s="215"/>
      <c r="AB471" s="215"/>
      <c r="AC471" s="215"/>
      <c r="AD471" s="215"/>
      <c r="AE471" s="215"/>
      <c r="AF471" s="215"/>
      <c r="AG471" s="255" t="s">
        <v>85</v>
      </c>
      <c r="AH471" s="197" t="s">
        <v>86</v>
      </c>
      <c r="AI471" s="215"/>
      <c r="AJ471" s="215"/>
      <c r="AK471" s="215"/>
      <c r="AL471" s="255" t="s">
        <v>57</v>
      </c>
      <c r="AM471" s="197" t="s">
        <v>972</v>
      </c>
      <c r="AN471" s="215"/>
      <c r="AO471" s="215"/>
      <c r="AP471" s="215"/>
      <c r="AQ471" s="215"/>
      <c r="AR471" s="135">
        <f>COUNTIF(B:B,B471)</f>
        <v>1</v>
      </c>
      <c r="AS471" s="135" t="str">
        <f t="shared" ref="AS471:AS536" si="201">IFERROR(RIGHT(B471,16-SEARCH("_", B471)),0)</f>
        <v>2022_08_01_a</v>
      </c>
      <c r="AT471" s="136"/>
      <c r="AU471" s="135" t="str">
        <f t="shared" ref="AU471:AU536" si="202">LEFT(AS471,4)</f>
        <v>2022</v>
      </c>
      <c r="AV471" s="135" t="str">
        <f t="shared" ref="AV471:AV536" si="203">MID(AS471,6,2)</f>
        <v>08</v>
      </c>
      <c r="AW471" s="135" t="str">
        <f t="shared" ref="AW471:AW536" si="204">MID(AS471,9,2)</f>
        <v>01</v>
      </c>
      <c r="AX471" s="135">
        <f t="shared" ref="AX471:AX536" si="205">IFERROR(DATE(AU471,AV471,AW471)," ")</f>
        <v>44774</v>
      </c>
      <c r="AY471" s="137"/>
      <c r="AZ471" s="138">
        <f t="shared" ref="AZ471:AZ536" si="206">H471</f>
        <v>44774</v>
      </c>
      <c r="BA471" s="135" t="b">
        <f t="shared" ref="BA471:BA536" si="207">IF(AX471=" "," ",AX471=AZ471)</f>
        <v>1</v>
      </c>
      <c r="BB471" s="135" t="str">
        <f t="shared" ref="BB471:BB536" si="208">IF(BC471="YES"," ",AZ471)</f>
        <v xml:space="preserve"> </v>
      </c>
      <c r="BC471" s="135" t="str">
        <f t="shared" ref="BC471:BC536" si="209">IF(AM471="Apprentice","yes","no")</f>
        <v>yes</v>
      </c>
      <c r="BD471" s="135" t="b">
        <f t="shared" ref="BD471:BD536" si="210">IF(OR(U471&lt;&gt;"0", V471&lt;&gt;"0"),U471=V471," ")</f>
        <v>0</v>
      </c>
      <c r="BE471" s="139" t="s">
        <v>59</v>
      </c>
      <c r="BG471" s="219"/>
    </row>
    <row r="472" spans="1:59" s="148" customFormat="1" ht="24" customHeight="1">
      <c r="A472" s="204"/>
      <c r="B472" s="214" t="s">
        <v>1112</v>
      </c>
      <c r="C472" s="211"/>
      <c r="D472" s="364">
        <v>10287986</v>
      </c>
      <c r="E472" s="246"/>
      <c r="F472" s="247" t="s">
        <v>1009</v>
      </c>
      <c r="G472" s="236">
        <v>44781</v>
      </c>
      <c r="H472" s="248">
        <v>44781</v>
      </c>
      <c r="I472" s="249"/>
      <c r="J472" s="248">
        <v>44797</v>
      </c>
      <c r="K472" s="249"/>
      <c r="L472" s="249"/>
      <c r="M472" s="249"/>
      <c r="N472" s="249"/>
      <c r="O472" s="249"/>
      <c r="P472" s="249"/>
      <c r="Q472" s="211"/>
      <c r="R472" s="211"/>
      <c r="S472" s="332">
        <f t="shared" si="199"/>
        <v>39</v>
      </c>
      <c r="T472" s="363">
        <v>39</v>
      </c>
      <c r="U472" s="363">
        <v>39</v>
      </c>
      <c r="V472" s="363">
        <v>0</v>
      </c>
      <c r="W472" s="211"/>
      <c r="X472" s="211"/>
      <c r="Y472" s="211"/>
      <c r="Z472" s="200" t="s">
        <v>53</v>
      </c>
      <c r="AA472" s="211"/>
      <c r="AB472" s="211"/>
      <c r="AC472" s="211"/>
      <c r="AD472" s="211"/>
      <c r="AE472" s="211"/>
      <c r="AF472" s="211"/>
      <c r="AG472" s="245" t="s">
        <v>85</v>
      </c>
      <c r="AH472" s="134" t="s">
        <v>86</v>
      </c>
      <c r="AI472" s="211"/>
      <c r="AJ472" s="211"/>
      <c r="AK472" s="211"/>
      <c r="AL472" s="200" t="s">
        <v>57</v>
      </c>
      <c r="AM472" s="211"/>
      <c r="AN472" s="211"/>
      <c r="AO472" s="211"/>
      <c r="AP472" s="211"/>
      <c r="AQ472" s="211"/>
      <c r="AR472" s="135">
        <f>COUNTIF(B:B,B472)</f>
        <v>1</v>
      </c>
      <c r="AS472" s="135" t="str">
        <f t="shared" si="201"/>
        <v>2022_08_08_a</v>
      </c>
      <c r="AT472" s="136"/>
      <c r="AU472" s="135" t="str">
        <f t="shared" si="202"/>
        <v>2022</v>
      </c>
      <c r="AV472" s="135" t="str">
        <f t="shared" si="203"/>
        <v>08</v>
      </c>
      <c r="AW472" s="135" t="str">
        <f t="shared" si="204"/>
        <v>08</v>
      </c>
      <c r="AX472" s="135">
        <f t="shared" si="205"/>
        <v>44781</v>
      </c>
      <c r="AY472" s="137"/>
      <c r="AZ472" s="138">
        <f t="shared" si="206"/>
        <v>44781</v>
      </c>
      <c r="BA472" s="135" t="b">
        <f t="shared" si="207"/>
        <v>1</v>
      </c>
      <c r="BB472" s="135">
        <f t="shared" si="208"/>
        <v>44781</v>
      </c>
      <c r="BC472" s="135" t="str">
        <f t="shared" si="209"/>
        <v>no</v>
      </c>
      <c r="BD472" s="135" t="b">
        <f t="shared" si="210"/>
        <v>0</v>
      </c>
      <c r="BE472" s="139" t="s">
        <v>59</v>
      </c>
      <c r="BF472" s="130"/>
      <c r="BG472" s="207"/>
    </row>
    <row r="473" spans="1:59" s="148" customFormat="1" ht="24" customHeight="1">
      <c r="A473" s="204"/>
      <c r="B473" s="214" t="s">
        <v>1113</v>
      </c>
      <c r="C473" s="211"/>
      <c r="D473" s="214">
        <v>10288100</v>
      </c>
      <c r="E473" s="246"/>
      <c r="F473" s="247" t="s">
        <v>1009</v>
      </c>
      <c r="G473" s="236">
        <v>44781</v>
      </c>
      <c r="H473" s="248">
        <v>44781</v>
      </c>
      <c r="I473" s="249"/>
      <c r="J473" s="248">
        <v>44797</v>
      </c>
      <c r="K473" s="249"/>
      <c r="L473" s="249"/>
      <c r="M473" s="249"/>
      <c r="N473" s="249"/>
      <c r="O473" s="249"/>
      <c r="P473" s="249"/>
      <c r="Q473" s="211"/>
      <c r="R473" s="211"/>
      <c r="S473" s="332">
        <f t="shared" si="199"/>
        <v>11</v>
      </c>
      <c r="T473" s="363">
        <v>11</v>
      </c>
      <c r="U473" s="363">
        <v>11</v>
      </c>
      <c r="V473" s="363">
        <v>0</v>
      </c>
      <c r="W473" s="211"/>
      <c r="X473" s="211"/>
      <c r="Y473" s="211"/>
      <c r="Z473" s="200" t="s">
        <v>53</v>
      </c>
      <c r="AA473" s="211"/>
      <c r="AB473" s="211"/>
      <c r="AC473" s="211"/>
      <c r="AD473" s="211"/>
      <c r="AE473" s="211"/>
      <c r="AF473" s="211"/>
      <c r="AG473" s="245" t="s">
        <v>85</v>
      </c>
      <c r="AH473" s="134" t="s">
        <v>86</v>
      </c>
      <c r="AI473" s="211"/>
      <c r="AJ473" s="211"/>
      <c r="AK473" s="211"/>
      <c r="AL473" s="200" t="s">
        <v>57</v>
      </c>
      <c r="AM473" s="211"/>
      <c r="AN473" s="211"/>
      <c r="AO473" s="211"/>
      <c r="AP473" s="211"/>
      <c r="AQ473" s="211"/>
      <c r="AR473" s="135">
        <f>COUNTIF(B:B,B473)</f>
        <v>1</v>
      </c>
      <c r="AS473" s="135" t="str">
        <f t="shared" si="201"/>
        <v>2022_08_08_b</v>
      </c>
      <c r="AT473" s="136"/>
      <c r="AU473" s="135" t="str">
        <f t="shared" si="202"/>
        <v>2022</v>
      </c>
      <c r="AV473" s="135" t="str">
        <f t="shared" si="203"/>
        <v>08</v>
      </c>
      <c r="AW473" s="135" t="str">
        <f t="shared" si="204"/>
        <v>08</v>
      </c>
      <c r="AX473" s="135">
        <f t="shared" si="205"/>
        <v>44781</v>
      </c>
      <c r="AY473" s="137"/>
      <c r="AZ473" s="138">
        <f t="shared" si="206"/>
        <v>44781</v>
      </c>
      <c r="BA473" s="135" t="b">
        <f t="shared" si="207"/>
        <v>1</v>
      </c>
      <c r="BB473" s="135">
        <f t="shared" si="208"/>
        <v>44781</v>
      </c>
      <c r="BC473" s="135" t="str">
        <f t="shared" si="209"/>
        <v>no</v>
      </c>
      <c r="BD473" s="135" t="b">
        <f t="shared" si="210"/>
        <v>0</v>
      </c>
      <c r="BE473" s="139" t="s">
        <v>59</v>
      </c>
      <c r="BF473" s="130"/>
      <c r="BG473" s="207"/>
    </row>
    <row r="474" spans="1:59" s="148" customFormat="1" ht="24" customHeight="1">
      <c r="A474" s="204"/>
      <c r="B474" s="214" t="s">
        <v>1114</v>
      </c>
      <c r="C474" s="211"/>
      <c r="D474" s="364">
        <v>10292210</v>
      </c>
      <c r="E474" s="246"/>
      <c r="F474" s="247" t="s">
        <v>1009</v>
      </c>
      <c r="G474" s="236">
        <v>44816</v>
      </c>
      <c r="H474" s="248">
        <v>44816</v>
      </c>
      <c r="I474" s="249"/>
      <c r="J474" s="248">
        <v>44830</v>
      </c>
      <c r="K474" s="249"/>
      <c r="L474" s="249"/>
      <c r="M474" s="249"/>
      <c r="N474" s="249"/>
      <c r="O474" s="249"/>
      <c r="P474" s="249"/>
      <c r="Q474" s="211"/>
      <c r="R474" s="211" t="s">
        <v>1115</v>
      </c>
      <c r="S474" s="332">
        <f t="shared" si="199"/>
        <v>36</v>
      </c>
      <c r="T474" s="363">
        <v>36</v>
      </c>
      <c r="U474" s="363">
        <v>36</v>
      </c>
      <c r="V474" s="363">
        <v>0</v>
      </c>
      <c r="W474" s="211"/>
      <c r="X474" s="211"/>
      <c r="Y474" s="211"/>
      <c r="Z474" s="200" t="s">
        <v>53</v>
      </c>
      <c r="AA474" s="211"/>
      <c r="AB474" s="211"/>
      <c r="AC474" s="211"/>
      <c r="AD474" s="211"/>
      <c r="AE474" s="211"/>
      <c r="AF474" s="211"/>
      <c r="AG474" s="245" t="s">
        <v>85</v>
      </c>
      <c r="AH474" s="134" t="s">
        <v>86</v>
      </c>
      <c r="AI474" s="211"/>
      <c r="AJ474" s="211"/>
      <c r="AK474" s="211"/>
      <c r="AL474" s="200" t="s">
        <v>57</v>
      </c>
      <c r="AM474" s="211"/>
      <c r="AN474" s="211"/>
      <c r="AO474" s="211"/>
      <c r="AP474" s="211"/>
      <c r="AQ474" s="211"/>
      <c r="AR474" s="135">
        <f>COUNTIF(B:B,B474)</f>
        <v>1</v>
      </c>
      <c r="AS474" s="135" t="str">
        <f t="shared" si="201"/>
        <v>2022_09_12_a</v>
      </c>
      <c r="AT474" s="136"/>
      <c r="AU474" s="135" t="str">
        <f t="shared" si="202"/>
        <v>2022</v>
      </c>
      <c r="AV474" s="135" t="str">
        <f t="shared" si="203"/>
        <v>09</v>
      </c>
      <c r="AW474" s="135" t="str">
        <f t="shared" si="204"/>
        <v>12</v>
      </c>
      <c r="AX474" s="135">
        <f t="shared" si="205"/>
        <v>44816</v>
      </c>
      <c r="AY474" s="137"/>
      <c r="AZ474" s="138">
        <f t="shared" si="206"/>
        <v>44816</v>
      </c>
      <c r="BA474" s="135" t="b">
        <f t="shared" si="207"/>
        <v>1</v>
      </c>
      <c r="BB474" s="135">
        <f t="shared" si="208"/>
        <v>44816</v>
      </c>
      <c r="BC474" s="135" t="str">
        <f t="shared" si="209"/>
        <v>no</v>
      </c>
      <c r="BD474" s="135" t="b">
        <f t="shared" si="210"/>
        <v>0</v>
      </c>
      <c r="BE474" s="139" t="s">
        <v>59</v>
      </c>
      <c r="BF474" s="130"/>
      <c r="BG474" s="207"/>
    </row>
    <row r="475" spans="1:59" s="197" customFormat="1" ht="28.5" customHeight="1">
      <c r="A475" s="216"/>
      <c r="B475" s="217" t="s">
        <v>1116</v>
      </c>
      <c r="C475" s="215"/>
      <c r="D475" s="240">
        <v>10292220</v>
      </c>
      <c r="E475" s="250"/>
      <c r="F475" s="251" t="s">
        <v>1009</v>
      </c>
      <c r="G475" s="252">
        <v>44816</v>
      </c>
      <c r="H475" s="253">
        <v>44816</v>
      </c>
      <c r="I475" s="254"/>
      <c r="J475" s="253">
        <v>44830</v>
      </c>
      <c r="K475" s="254"/>
      <c r="L475" s="254"/>
      <c r="M475" s="254"/>
      <c r="N475" s="254"/>
      <c r="O475" s="254"/>
      <c r="P475" s="254"/>
      <c r="Q475" s="215"/>
      <c r="R475" s="215" t="s">
        <v>1117</v>
      </c>
      <c r="S475" s="332">
        <f t="shared" si="199"/>
        <v>11</v>
      </c>
      <c r="T475" s="363">
        <v>11</v>
      </c>
      <c r="U475" s="363">
        <v>11</v>
      </c>
      <c r="V475" s="363">
        <v>0</v>
      </c>
      <c r="W475" s="215"/>
      <c r="X475" s="215"/>
      <c r="Y475" s="215"/>
      <c r="Z475" s="255" t="s">
        <v>53</v>
      </c>
      <c r="AA475" s="215"/>
      <c r="AB475" s="215"/>
      <c r="AC475" s="215"/>
      <c r="AD475" s="215"/>
      <c r="AE475" s="215"/>
      <c r="AF475" s="215"/>
      <c r="AG475" s="255" t="s">
        <v>85</v>
      </c>
      <c r="AH475" s="197" t="s">
        <v>86</v>
      </c>
      <c r="AI475" s="215"/>
      <c r="AJ475" s="215"/>
      <c r="AK475" s="215"/>
      <c r="AL475" s="255" t="s">
        <v>57</v>
      </c>
      <c r="AM475" s="197" t="s">
        <v>972</v>
      </c>
      <c r="AN475" s="215"/>
      <c r="AO475" s="215"/>
      <c r="AP475" s="215"/>
      <c r="AQ475" s="215"/>
      <c r="AR475" s="135">
        <f>COUNTIF(B:B,B475)</f>
        <v>1</v>
      </c>
      <c r="AS475" s="135" t="str">
        <f t="shared" si="201"/>
        <v>2022_09_12_b</v>
      </c>
      <c r="AT475" s="136"/>
      <c r="AU475" s="135" t="str">
        <f t="shared" si="202"/>
        <v>2022</v>
      </c>
      <c r="AV475" s="135" t="str">
        <f t="shared" si="203"/>
        <v>09</v>
      </c>
      <c r="AW475" s="135" t="str">
        <f t="shared" si="204"/>
        <v>12</v>
      </c>
      <c r="AX475" s="135">
        <f t="shared" si="205"/>
        <v>44816</v>
      </c>
      <c r="AY475" s="137"/>
      <c r="AZ475" s="138">
        <f t="shared" si="206"/>
        <v>44816</v>
      </c>
      <c r="BA475" s="135" t="b">
        <f t="shared" si="207"/>
        <v>1</v>
      </c>
      <c r="BB475" s="135" t="str">
        <f t="shared" si="208"/>
        <v xml:space="preserve"> </v>
      </c>
      <c r="BC475" s="135" t="str">
        <f t="shared" si="209"/>
        <v>yes</v>
      </c>
      <c r="BD475" s="135" t="b">
        <f t="shared" si="210"/>
        <v>0</v>
      </c>
      <c r="BE475" s="139" t="s">
        <v>59</v>
      </c>
      <c r="BG475" s="219"/>
    </row>
    <row r="476" spans="1:59" s="200" customFormat="1" ht="24" customHeight="1">
      <c r="A476" s="281"/>
      <c r="B476" s="445" t="s">
        <v>1118</v>
      </c>
      <c r="C476" s="446"/>
      <c r="D476" s="366">
        <v>10306532</v>
      </c>
      <c r="E476" s="447"/>
      <c r="F476" s="448" t="s">
        <v>1009</v>
      </c>
      <c r="G476" s="449">
        <v>44851</v>
      </c>
      <c r="H476" s="450">
        <v>44851</v>
      </c>
      <c r="I476" s="451"/>
      <c r="J476" s="450">
        <v>44865</v>
      </c>
      <c r="K476" s="451"/>
      <c r="L476" s="451"/>
      <c r="M476" s="451"/>
      <c r="N476" s="451"/>
      <c r="O476" s="451"/>
      <c r="P476" s="451"/>
      <c r="Q476" s="446"/>
      <c r="R476" s="447"/>
      <c r="S476" s="452">
        <f t="shared" si="199"/>
        <v>45</v>
      </c>
      <c r="T476" s="367">
        <v>45</v>
      </c>
      <c r="U476" s="367">
        <v>45</v>
      </c>
      <c r="V476" s="367">
        <v>0</v>
      </c>
      <c r="W476" s="446"/>
      <c r="X476" s="446"/>
      <c r="Y476" s="446"/>
      <c r="Z476" s="200" t="s">
        <v>53</v>
      </c>
      <c r="AA476" s="446"/>
      <c r="AB476" s="446"/>
      <c r="AC476" s="446"/>
      <c r="AD476" s="446"/>
      <c r="AE476" s="446"/>
      <c r="AF476" s="446"/>
      <c r="AG476" s="245" t="s">
        <v>85</v>
      </c>
      <c r="AH476" s="245" t="s">
        <v>86</v>
      </c>
      <c r="AI476" s="446"/>
      <c r="AJ476" s="446"/>
      <c r="AK476" s="446"/>
      <c r="AL476" s="200" t="s">
        <v>57</v>
      </c>
      <c r="AM476" s="446"/>
      <c r="AN476" s="446"/>
      <c r="AO476" s="446"/>
      <c r="AP476" s="446"/>
      <c r="AQ476" s="446"/>
      <c r="AR476" s="135">
        <f>COUNTIF(B:B,B476)</f>
        <v>1</v>
      </c>
      <c r="AS476" s="135" t="str">
        <f t="shared" si="201"/>
        <v>2022_10_17_a</v>
      </c>
      <c r="AT476" s="453"/>
      <c r="AU476" s="135" t="str">
        <f t="shared" si="202"/>
        <v>2022</v>
      </c>
      <c r="AV476" s="135" t="str">
        <f t="shared" si="203"/>
        <v>10</v>
      </c>
      <c r="AW476" s="135" t="str">
        <f t="shared" si="204"/>
        <v>17</v>
      </c>
      <c r="AX476" s="135">
        <f t="shared" si="205"/>
        <v>44851</v>
      </c>
      <c r="AY476" s="454"/>
      <c r="AZ476" s="138">
        <f t="shared" si="206"/>
        <v>44851</v>
      </c>
      <c r="BA476" s="135" t="b">
        <f t="shared" si="207"/>
        <v>1</v>
      </c>
      <c r="BB476" s="135">
        <f t="shared" si="208"/>
        <v>44851</v>
      </c>
      <c r="BC476" s="135" t="str">
        <f t="shared" si="209"/>
        <v>no</v>
      </c>
      <c r="BD476" s="135" t="b">
        <f t="shared" si="210"/>
        <v>0</v>
      </c>
      <c r="BE476" s="139" t="s">
        <v>59</v>
      </c>
      <c r="BF476" s="455"/>
      <c r="BG476" s="282"/>
    </row>
    <row r="477" spans="1:59" s="215" customFormat="1" ht="24" customHeight="1">
      <c r="B477" s="217" t="s">
        <v>1119</v>
      </c>
      <c r="D477" s="217" t="s">
        <v>971</v>
      </c>
      <c r="F477" s="251" t="s">
        <v>1009</v>
      </c>
      <c r="G477" s="253">
        <v>44866</v>
      </c>
      <c r="H477" s="253">
        <v>44866</v>
      </c>
      <c r="I477" s="254"/>
      <c r="J477" s="253">
        <v>44880</v>
      </c>
      <c r="K477" s="254"/>
      <c r="L477" s="254"/>
      <c r="M477" s="254"/>
      <c r="N477" s="254"/>
      <c r="O477" s="254"/>
      <c r="P477" s="254"/>
      <c r="S477" s="469">
        <f t="shared" si="199"/>
        <v>1</v>
      </c>
      <c r="T477" s="217">
        <v>1</v>
      </c>
      <c r="U477" s="217">
        <v>1</v>
      </c>
      <c r="V477" s="217">
        <v>0</v>
      </c>
      <c r="Z477" s="215" t="s">
        <v>53</v>
      </c>
      <c r="AG477" s="215" t="s">
        <v>85</v>
      </c>
      <c r="AH477" s="215" t="s">
        <v>86</v>
      </c>
      <c r="AL477" s="215" t="s">
        <v>57</v>
      </c>
      <c r="AM477" s="215" t="s">
        <v>972</v>
      </c>
      <c r="AR477" s="439">
        <f>COUNTIF(B:B,B477)</f>
        <v>1</v>
      </c>
      <c r="AS477" s="439" t="str">
        <f t="shared" si="201"/>
        <v>2022_11_01_a</v>
      </c>
      <c r="AT477" s="440"/>
      <c r="AU477" s="439" t="str">
        <f t="shared" si="202"/>
        <v>2022</v>
      </c>
      <c r="AV477" s="439" t="str">
        <f t="shared" si="203"/>
        <v>11</v>
      </c>
      <c r="AW477" s="439" t="str">
        <f t="shared" si="204"/>
        <v>01</v>
      </c>
      <c r="AX477" s="439">
        <f t="shared" si="205"/>
        <v>44866</v>
      </c>
      <c r="AY477" s="441"/>
      <c r="AZ477" s="442">
        <f t="shared" si="206"/>
        <v>44866</v>
      </c>
      <c r="BA477" s="439" t="b">
        <f t="shared" si="207"/>
        <v>1</v>
      </c>
      <c r="BB477" s="439" t="str">
        <f t="shared" si="208"/>
        <v xml:space="preserve"> </v>
      </c>
      <c r="BC477" s="439" t="str">
        <f t="shared" si="209"/>
        <v>yes</v>
      </c>
      <c r="BD477" s="439" t="b">
        <f t="shared" si="210"/>
        <v>0</v>
      </c>
      <c r="BE477" s="443" t="s">
        <v>59</v>
      </c>
    </row>
    <row r="478" spans="1:59" s="468" customFormat="1" ht="24" customHeight="1">
      <c r="A478" s="468" t="s">
        <v>1120</v>
      </c>
      <c r="B478" s="468" t="s">
        <v>1121</v>
      </c>
      <c r="D478" s="468" t="s">
        <v>971</v>
      </c>
      <c r="F478" s="444" t="s">
        <v>1009</v>
      </c>
      <c r="G478" s="220">
        <v>44949</v>
      </c>
      <c r="H478" s="220">
        <v>44949</v>
      </c>
      <c r="J478" s="220">
        <v>44963</v>
      </c>
      <c r="S478" s="468">
        <f t="shared" si="199"/>
        <v>1</v>
      </c>
      <c r="T478" s="468">
        <v>1</v>
      </c>
      <c r="U478" s="468">
        <v>1</v>
      </c>
      <c r="V478" s="468">
        <v>0</v>
      </c>
      <c r="Z478" s="468" t="s">
        <v>53</v>
      </c>
      <c r="AG478" s="468" t="s">
        <v>85</v>
      </c>
      <c r="AH478" s="468" t="s">
        <v>86</v>
      </c>
      <c r="AL478" s="468" t="s">
        <v>57</v>
      </c>
      <c r="AM478" s="468" t="s">
        <v>972</v>
      </c>
      <c r="AR478" s="468">
        <f>COUNTIF(B:B,B478)</f>
        <v>1</v>
      </c>
      <c r="AS478" s="468" t="str">
        <f t="shared" ref="AS478:AS479" si="211">IFERROR(RIGHT(B478,16-SEARCH("_", B478)),0)</f>
        <v>2023_01_23_a</v>
      </c>
      <c r="AU478" s="468" t="str">
        <f t="shared" ref="AU478:AU479" si="212">LEFT(AS478,4)</f>
        <v>2023</v>
      </c>
      <c r="AV478" s="468" t="str">
        <f t="shared" ref="AV478:AV479" si="213">MID(AS478,6,2)</f>
        <v>01</v>
      </c>
      <c r="AW478" s="468" t="str">
        <f t="shared" ref="AW478:AW479" si="214">MID(AS478,9,2)</f>
        <v>23</v>
      </c>
      <c r="AX478" s="468">
        <f t="shared" ref="AX478:AX479" si="215">IFERROR(DATE(AU478,AV478,AW478)," ")</f>
        <v>44949</v>
      </c>
      <c r="AZ478" s="468">
        <f t="shared" ref="AZ478:AZ479" si="216">H478</f>
        <v>44949</v>
      </c>
      <c r="BA478" s="468" t="b">
        <f t="shared" ref="BA478:BA479" si="217">IF(AX478=" "," ",AX478=AZ478)</f>
        <v>1</v>
      </c>
      <c r="BB478" s="468" t="str">
        <f t="shared" ref="BB478:BB479" si="218">IF(BC478="YES"," ",AZ478)</f>
        <v xml:space="preserve"> </v>
      </c>
      <c r="BC478" s="468" t="str">
        <f t="shared" ref="BC478:BC479" si="219">IF(AM478="Apprentice","yes","no")</f>
        <v>yes</v>
      </c>
      <c r="BD478" s="468" t="b">
        <f t="shared" ref="BD478:BD479" si="220">IF(OR(U478&lt;&gt;"0", V478&lt;&gt;"0"),U478=V478," ")</f>
        <v>0</v>
      </c>
      <c r="BE478" s="468" t="s">
        <v>59</v>
      </c>
    </row>
    <row r="479" spans="1:59" s="456" customFormat="1" ht="24" customHeight="1">
      <c r="B479" s="414" t="s">
        <v>1122</v>
      </c>
      <c r="C479" s="457"/>
      <c r="D479" s="458">
        <v>10322245</v>
      </c>
      <c r="E479" s="459"/>
      <c r="F479" s="460" t="s">
        <v>1009</v>
      </c>
      <c r="G479" s="461">
        <v>44963</v>
      </c>
      <c r="H479" s="461">
        <v>44963</v>
      </c>
      <c r="I479" s="462"/>
      <c r="J479" s="461">
        <v>44977</v>
      </c>
      <c r="K479" s="462"/>
      <c r="L479" s="462"/>
      <c r="M479" s="462"/>
      <c r="N479" s="462"/>
      <c r="O479" s="462"/>
      <c r="P479" s="462"/>
      <c r="R479" s="456" t="s">
        <v>1123</v>
      </c>
      <c r="S479" s="463">
        <f t="shared" si="199"/>
        <v>10</v>
      </c>
      <c r="T479" s="464">
        <v>10</v>
      </c>
      <c r="U479" s="464">
        <v>10</v>
      </c>
      <c r="V479" s="465">
        <v>0</v>
      </c>
      <c r="Z479" s="456" t="s">
        <v>53</v>
      </c>
      <c r="AG479" s="456" t="s">
        <v>85</v>
      </c>
      <c r="AH479" s="456" t="s">
        <v>86</v>
      </c>
      <c r="AL479" s="456" t="s">
        <v>57</v>
      </c>
      <c r="AR479" s="423">
        <f>COUNTIF(B:B,B479)</f>
        <v>1</v>
      </c>
      <c r="AS479" s="423" t="str">
        <f t="shared" si="211"/>
        <v>2023_02_06_a</v>
      </c>
      <c r="AT479" s="466"/>
      <c r="AU479" s="423" t="str">
        <f t="shared" si="212"/>
        <v>2023</v>
      </c>
      <c r="AV479" s="423" t="str">
        <f t="shared" si="213"/>
        <v>02</v>
      </c>
      <c r="AW479" s="423" t="str">
        <f t="shared" si="214"/>
        <v>06</v>
      </c>
      <c r="AX479" s="423">
        <f t="shared" si="215"/>
        <v>44963</v>
      </c>
      <c r="AY479" s="467"/>
      <c r="AZ479" s="426">
        <f t="shared" si="216"/>
        <v>44963</v>
      </c>
      <c r="BA479" s="423" t="b">
        <f t="shared" si="217"/>
        <v>1</v>
      </c>
      <c r="BB479" s="423">
        <f t="shared" si="218"/>
        <v>44963</v>
      </c>
      <c r="BC479" s="423" t="str">
        <f t="shared" si="219"/>
        <v>no</v>
      </c>
      <c r="BD479" s="423" t="b">
        <f t="shared" si="220"/>
        <v>0</v>
      </c>
      <c r="BE479" s="427" t="s">
        <v>59</v>
      </c>
    </row>
    <row r="480" spans="1:59" s="197" customFormat="1" ht="24" customHeight="1">
      <c r="A480" s="197" t="s">
        <v>1120</v>
      </c>
      <c r="B480" s="405" t="s">
        <v>1124</v>
      </c>
      <c r="C480" s="216"/>
      <c r="D480" s="217" t="s">
        <v>971</v>
      </c>
      <c r="E480" s="219"/>
      <c r="F480" s="152" t="s">
        <v>1009</v>
      </c>
      <c r="G480" s="220">
        <v>44975</v>
      </c>
      <c r="H480" s="220">
        <v>44975</v>
      </c>
      <c r="I480" s="221"/>
      <c r="J480" s="220">
        <v>44975</v>
      </c>
      <c r="K480" s="221"/>
      <c r="L480" s="221"/>
      <c r="M480" s="221"/>
      <c r="N480" s="221"/>
      <c r="O480" s="221"/>
      <c r="P480" s="221"/>
      <c r="S480" s="342">
        <v>1</v>
      </c>
      <c r="T480" s="342">
        <v>1</v>
      </c>
      <c r="U480" s="342">
        <v>1</v>
      </c>
      <c r="V480" s="438">
        <v>0</v>
      </c>
      <c r="Z480" s="197" t="s">
        <v>53</v>
      </c>
      <c r="AG480" s="197" t="s">
        <v>85</v>
      </c>
      <c r="AH480" s="197" t="s">
        <v>86</v>
      </c>
      <c r="AL480" s="197" t="s">
        <v>57</v>
      </c>
      <c r="AM480" s="197" t="s">
        <v>972</v>
      </c>
      <c r="AR480" s="407">
        <v>1</v>
      </c>
      <c r="AS480" s="407" t="s">
        <v>1125</v>
      </c>
      <c r="AT480" s="81"/>
      <c r="AU480" s="407" t="s">
        <v>1126</v>
      </c>
      <c r="AV480" s="407" t="s">
        <v>1127</v>
      </c>
      <c r="AW480" s="407" t="s">
        <v>1128</v>
      </c>
      <c r="AX480" s="407">
        <v>44949</v>
      </c>
      <c r="AY480" s="408"/>
      <c r="AZ480" s="409">
        <v>44949</v>
      </c>
      <c r="BA480" s="407" t="b">
        <v>1</v>
      </c>
      <c r="BB480" s="407" t="s">
        <v>1129</v>
      </c>
      <c r="BC480" s="407" t="s">
        <v>476</v>
      </c>
      <c r="BD480" s="407" t="b">
        <v>0</v>
      </c>
      <c r="BE480" s="410" t="s">
        <v>59</v>
      </c>
    </row>
    <row r="481" spans="1:59" s="413" customFormat="1" ht="24" customHeight="1">
      <c r="B481" s="414" t="s">
        <v>1130</v>
      </c>
      <c r="C481" s="415"/>
      <c r="D481" s="416" t="s">
        <v>1020</v>
      </c>
      <c r="E481" s="417"/>
      <c r="F481" s="418" t="s">
        <v>1009</v>
      </c>
      <c r="G481" s="419">
        <v>44998</v>
      </c>
      <c r="H481" s="419">
        <v>44998</v>
      </c>
      <c r="I481" s="420"/>
      <c r="J481" s="419">
        <v>45012</v>
      </c>
      <c r="K481" s="420"/>
      <c r="L481" s="420"/>
      <c r="M481" s="420"/>
      <c r="N481" s="420"/>
      <c r="O481" s="420"/>
      <c r="P481" s="420"/>
      <c r="R481" s="413" t="s">
        <v>1131</v>
      </c>
      <c r="S481" s="332">
        <f t="shared" si="199"/>
        <v>25</v>
      </c>
      <c r="T481" s="421">
        <v>25</v>
      </c>
      <c r="U481" s="421">
        <v>25</v>
      </c>
      <c r="V481" s="422">
        <v>0</v>
      </c>
      <c r="Z481" s="413" t="s">
        <v>53</v>
      </c>
      <c r="AG481" s="413" t="s">
        <v>85</v>
      </c>
      <c r="AH481" s="413" t="s">
        <v>86</v>
      </c>
      <c r="AL481" s="413" t="s">
        <v>57</v>
      </c>
      <c r="AR481" s="423">
        <f>COUNTIF(B:B,B481)</f>
        <v>1</v>
      </c>
      <c r="AS481" s="423" t="str">
        <f t="shared" ref="AS481" si="221">IFERROR(RIGHT(B481,16-SEARCH("_", B481)),0)</f>
        <v>2023_03_13_a</v>
      </c>
      <c r="AT481" s="424"/>
      <c r="AU481" s="423" t="str">
        <f t="shared" ref="AU481" si="222">LEFT(AS481,4)</f>
        <v>2023</v>
      </c>
      <c r="AV481" s="423" t="str">
        <f t="shared" ref="AV481" si="223">MID(AS481,6,2)</f>
        <v>03</v>
      </c>
      <c r="AW481" s="423" t="str">
        <f t="shared" ref="AW481" si="224">MID(AS481,9,2)</f>
        <v>13</v>
      </c>
      <c r="AX481" s="423">
        <f t="shared" ref="AX481" si="225">IFERROR(DATE(AU481,AV481,AW481)," ")</f>
        <v>44998</v>
      </c>
      <c r="AY481" s="425"/>
      <c r="AZ481" s="426">
        <f t="shared" ref="AZ481" si="226">H481</f>
        <v>44998</v>
      </c>
      <c r="BA481" s="423" t="b">
        <f t="shared" ref="BA481" si="227">IF(AX481=" "," ",AX481=AZ481)</f>
        <v>1</v>
      </c>
      <c r="BB481" s="423">
        <f t="shared" ref="BB481" si="228">IF(BC481="YES"," ",AZ481)</f>
        <v>44998</v>
      </c>
      <c r="BC481" s="423" t="str">
        <f t="shared" ref="BC481" si="229">IF(AM481="Apprentice","yes","no")</f>
        <v>no</v>
      </c>
      <c r="BD481" s="423" t="b">
        <f t="shared" ref="BD481" si="230">IF(OR(U481&lt;&gt;"0", V481&lt;&gt;"0"),U481=V481," ")</f>
        <v>0</v>
      </c>
      <c r="BE481" s="427" t="s">
        <v>59</v>
      </c>
    </row>
    <row r="482" spans="1:59" s="126" customFormat="1" ht="135.75" customHeight="1">
      <c r="A482" s="472"/>
      <c r="B482" s="257"/>
      <c r="C482" s="472"/>
      <c r="D482" s="256"/>
      <c r="E482" s="472"/>
      <c r="F482" s="492" t="s">
        <v>363</v>
      </c>
      <c r="G482" s="492"/>
      <c r="H482" s="492"/>
      <c r="I482" s="492"/>
      <c r="J482" s="492"/>
      <c r="K482" s="492"/>
      <c r="L482" s="492"/>
      <c r="M482" s="492"/>
      <c r="N482" s="492"/>
      <c r="O482" s="492"/>
      <c r="P482" s="492"/>
      <c r="Q482" s="492"/>
      <c r="R482" s="492"/>
      <c r="S482" s="472">
        <f>SUMIFS(S364:S466, AA364:AA466, "=In Progress")</f>
        <v>550</v>
      </c>
      <c r="T482" s="472"/>
      <c r="U482" s="23">
        <f>SUMIFS(U364:U466, Z364:Z466, "=In Progress")</f>
        <v>683</v>
      </c>
      <c r="V482" s="472">
        <f>SUMIFS(V364:V466, Z364:Z466, "=In Progress")</f>
        <v>916</v>
      </c>
      <c r="W482" s="472"/>
      <c r="X482" s="192"/>
      <c r="Y482" s="192"/>
      <c r="Z482" s="472"/>
      <c r="AA482" s="472">
        <f>COUNTIFS(AA364:AA466, "=In Progress")</f>
        <v>32</v>
      </c>
      <c r="AB482" s="472"/>
      <c r="AC482" s="472"/>
      <c r="AD482" s="472"/>
      <c r="AE482" s="472"/>
      <c r="AF482" s="472"/>
      <c r="AG482" s="472"/>
      <c r="AH482" s="472"/>
      <c r="AI482" s="472"/>
      <c r="AJ482" s="472"/>
      <c r="AK482" s="472"/>
      <c r="AL482" s="472"/>
      <c r="AM482" s="472"/>
      <c r="AN482" s="472"/>
      <c r="AO482" s="472"/>
      <c r="AP482" s="472"/>
      <c r="AQ482" s="472"/>
      <c r="AR482" s="135">
        <f>COUNTIF(B:B,B482)</f>
        <v>0</v>
      </c>
      <c r="AS482" s="135">
        <f t="shared" si="201"/>
        <v>0</v>
      </c>
      <c r="AT482" s="136"/>
      <c r="AU482" s="135" t="str">
        <f t="shared" si="202"/>
        <v>0</v>
      </c>
      <c r="AV482" s="135" t="str">
        <f t="shared" si="203"/>
        <v/>
      </c>
      <c r="AW482" s="135" t="str">
        <f t="shared" si="204"/>
        <v/>
      </c>
      <c r="AX482" s="135" t="str">
        <f t="shared" si="205"/>
        <v xml:space="preserve"> </v>
      </c>
      <c r="AY482" s="137"/>
      <c r="AZ482" s="138">
        <f t="shared" si="206"/>
        <v>0</v>
      </c>
      <c r="BA482" s="135" t="str">
        <f t="shared" si="207"/>
        <v xml:space="preserve"> </v>
      </c>
      <c r="BB482" s="135">
        <f t="shared" si="208"/>
        <v>0</v>
      </c>
      <c r="BC482" s="135" t="str">
        <f t="shared" si="209"/>
        <v>no</v>
      </c>
      <c r="BD482" s="135" t="b">
        <f t="shared" si="210"/>
        <v>0</v>
      </c>
      <c r="BE482" s="139" t="s">
        <v>59</v>
      </c>
      <c r="BF482" s="136"/>
      <c r="BG482" s="472"/>
    </row>
    <row r="483" spans="1:59" s="170" customFormat="1" ht="154">
      <c r="A483" s="485"/>
      <c r="B483" s="472"/>
      <c r="C483" s="485"/>
      <c r="D483" s="485"/>
      <c r="E483" s="485"/>
      <c r="F483" s="492" t="s">
        <v>223</v>
      </c>
      <c r="G483" s="493"/>
      <c r="H483" s="493"/>
      <c r="I483" s="493"/>
      <c r="J483" s="493"/>
      <c r="K483" s="493"/>
      <c r="L483" s="493"/>
      <c r="M483" s="493"/>
      <c r="N483" s="493"/>
      <c r="O483" s="493"/>
      <c r="P483" s="493"/>
      <c r="Q483" s="493"/>
      <c r="R483" s="493"/>
      <c r="S483" s="472">
        <f>SUMIFS(S364:S466, AA364:AA466, "=Planned")</f>
        <v>0</v>
      </c>
      <c r="T483" s="472"/>
      <c r="U483" s="23">
        <f>SUMIFS(U364:U466, Z364:Z466, "=Planned")</f>
        <v>0</v>
      </c>
      <c r="V483" s="472">
        <f>SUMIFS(V364:V466, Z364:Z466, "=Planned")</f>
        <v>0</v>
      </c>
      <c r="W483" s="472"/>
      <c r="X483" s="192"/>
      <c r="Y483" s="192"/>
      <c r="Z483" s="472"/>
      <c r="AA483" s="472">
        <f>COUNTIFS(AA364:AA466, "=Planned")</f>
        <v>0</v>
      </c>
      <c r="AB483" s="472"/>
      <c r="AC483" s="472"/>
      <c r="AD483" s="472"/>
      <c r="AE483" s="472"/>
      <c r="AF483" s="472"/>
      <c r="AG483" s="472">
        <f>COUNTIFS(AG364:AG466, "=New")</f>
        <v>0</v>
      </c>
      <c r="AH483" s="472">
        <f>COUNTIFS(AH364:AH466, "=F2F")</f>
        <v>17</v>
      </c>
      <c r="AI483" s="485"/>
      <c r="AJ483" s="485"/>
      <c r="AK483" s="485"/>
      <c r="AL483" s="485"/>
      <c r="AM483" s="485"/>
      <c r="AN483" s="485"/>
      <c r="AR483" s="135">
        <f>COUNTIF(B:B,B483)</f>
        <v>0</v>
      </c>
      <c r="AS483" s="135">
        <f t="shared" si="201"/>
        <v>0</v>
      </c>
      <c r="AT483" s="136"/>
      <c r="AU483" s="135" t="str">
        <f t="shared" si="202"/>
        <v>0</v>
      </c>
      <c r="AV483" s="135" t="str">
        <f t="shared" si="203"/>
        <v/>
      </c>
      <c r="AW483" s="135" t="str">
        <f t="shared" si="204"/>
        <v/>
      </c>
      <c r="AX483" s="135" t="str">
        <f t="shared" si="205"/>
        <v xml:space="preserve"> </v>
      </c>
      <c r="AY483" s="137"/>
      <c r="AZ483" s="138">
        <f t="shared" si="206"/>
        <v>0</v>
      </c>
      <c r="BA483" s="135" t="str">
        <f t="shared" si="207"/>
        <v xml:space="preserve"> </v>
      </c>
      <c r="BB483" s="135">
        <f t="shared" si="208"/>
        <v>0</v>
      </c>
      <c r="BC483" s="135" t="str">
        <f t="shared" si="209"/>
        <v>no</v>
      </c>
      <c r="BD483" s="135" t="b">
        <f t="shared" si="210"/>
        <v>1</v>
      </c>
      <c r="BE483" s="139" t="s">
        <v>59</v>
      </c>
      <c r="BF483" s="136"/>
    </row>
    <row r="484" spans="1:59" s="126" customFormat="1" ht="154">
      <c r="A484" s="472"/>
      <c r="B484" s="485"/>
      <c r="C484" s="472"/>
      <c r="D484" s="472"/>
      <c r="E484" s="472"/>
      <c r="F484" s="492" t="s">
        <v>224</v>
      </c>
      <c r="G484" s="492"/>
      <c r="H484" s="492"/>
      <c r="I484" s="492"/>
      <c r="J484" s="492"/>
      <c r="K484" s="492"/>
      <c r="L484" s="492"/>
      <c r="M484" s="492"/>
      <c r="N484" s="492"/>
      <c r="O484" s="492"/>
      <c r="P484" s="492"/>
      <c r="Q484" s="492"/>
      <c r="R484" s="492"/>
      <c r="S484" s="472">
        <f>SUMIFS(S364:S466, AA364:AA466, "=Tentative")</f>
        <v>0</v>
      </c>
      <c r="T484" s="472"/>
      <c r="U484" s="23">
        <f>SUMIFS(U364:U466, Z364:Z466, "=Tentative")</f>
        <v>0</v>
      </c>
      <c r="V484" s="472">
        <f>SUMIFS(V364:V466, Z364:Z466, "=Tentative")</f>
        <v>0</v>
      </c>
      <c r="W484" s="472"/>
      <c r="X484" s="192"/>
      <c r="Y484" s="192"/>
      <c r="Z484" s="472"/>
      <c r="AA484" s="472">
        <f>COUNTIFS(AA364:AA466, "=Tentative")</f>
        <v>0</v>
      </c>
      <c r="AB484" s="472"/>
      <c r="AC484" s="472"/>
      <c r="AD484" s="472"/>
      <c r="AE484" s="472"/>
      <c r="AF484" s="472"/>
      <c r="AG484" s="472"/>
      <c r="AH484" s="472"/>
      <c r="AI484" s="472"/>
      <c r="AJ484" s="472"/>
      <c r="AK484" s="472"/>
      <c r="AL484" s="472"/>
      <c r="AM484" s="472"/>
      <c r="AN484" s="472"/>
      <c r="AO484" s="472"/>
      <c r="AP484" s="472"/>
      <c r="AQ484" s="472"/>
      <c r="AR484" s="135">
        <f>COUNTIF(B:B,B484)</f>
        <v>0</v>
      </c>
      <c r="AS484" s="135">
        <f t="shared" si="201"/>
        <v>0</v>
      </c>
      <c r="AT484" s="136"/>
      <c r="AU484" s="135" t="str">
        <f t="shared" si="202"/>
        <v>0</v>
      </c>
      <c r="AV484" s="135" t="str">
        <f t="shared" si="203"/>
        <v/>
      </c>
      <c r="AW484" s="135" t="str">
        <f t="shared" si="204"/>
        <v/>
      </c>
      <c r="AX484" s="135" t="str">
        <f t="shared" si="205"/>
        <v xml:space="preserve"> </v>
      </c>
      <c r="AY484" s="137"/>
      <c r="AZ484" s="138">
        <f t="shared" si="206"/>
        <v>0</v>
      </c>
      <c r="BA484" s="135" t="str">
        <f t="shared" si="207"/>
        <v xml:space="preserve"> </v>
      </c>
      <c r="BB484" s="135">
        <f t="shared" si="208"/>
        <v>0</v>
      </c>
      <c r="BC484" s="135" t="str">
        <f t="shared" si="209"/>
        <v>no</v>
      </c>
      <c r="BD484" s="135" t="b">
        <f t="shared" si="210"/>
        <v>1</v>
      </c>
      <c r="BE484" s="139" t="s">
        <v>59</v>
      </c>
      <c r="BF484" s="136"/>
      <c r="BG484" s="472"/>
    </row>
    <row r="485" spans="1:59" s="170" customFormat="1" ht="154">
      <c r="A485" s="485"/>
      <c r="B485" s="472"/>
      <c r="C485" s="485"/>
      <c r="D485" s="485"/>
      <c r="E485" s="485"/>
      <c r="F485" s="494" t="s">
        <v>225</v>
      </c>
      <c r="G485" s="494"/>
      <c r="H485" s="494"/>
      <c r="I485" s="494"/>
      <c r="J485" s="494"/>
      <c r="K485" s="494"/>
      <c r="L485" s="494"/>
      <c r="M485" s="494"/>
      <c r="N485" s="494"/>
      <c r="O485" s="494"/>
      <c r="P485" s="494"/>
      <c r="Q485" s="494"/>
      <c r="R485" s="494"/>
      <c r="S485" s="473">
        <f>SUM(S364:S466)</f>
        <v>2249</v>
      </c>
      <c r="T485" s="473"/>
      <c r="U485" s="193">
        <f>SUM(U364:U466)</f>
        <v>1032</v>
      </c>
      <c r="V485" s="473">
        <f>SUM(V364:V466)</f>
        <v>1217</v>
      </c>
      <c r="W485" s="473"/>
      <c r="X485" s="192"/>
      <c r="Y485" s="192"/>
      <c r="Z485" s="472"/>
      <c r="AA485" s="472"/>
      <c r="AB485" s="472"/>
      <c r="AC485" s="472"/>
      <c r="AD485" s="472"/>
      <c r="AE485" s="472"/>
      <c r="AF485" s="472"/>
      <c r="AG485" s="485"/>
      <c r="AH485" s="485"/>
      <c r="AI485" s="485"/>
      <c r="AJ485" s="485"/>
      <c r="AK485" s="485"/>
      <c r="AL485" s="485"/>
      <c r="AM485" s="485"/>
      <c r="AN485" s="485"/>
      <c r="AR485" s="135">
        <f>COUNTIF(B:B,B485)</f>
        <v>0</v>
      </c>
      <c r="AS485" s="135">
        <f t="shared" si="201"/>
        <v>0</v>
      </c>
      <c r="AT485" s="136"/>
      <c r="AU485" s="135" t="str">
        <f t="shared" si="202"/>
        <v>0</v>
      </c>
      <c r="AV485" s="135" t="str">
        <f t="shared" si="203"/>
        <v/>
      </c>
      <c r="AW485" s="135" t="str">
        <f t="shared" si="204"/>
        <v/>
      </c>
      <c r="AX485" s="135" t="str">
        <f t="shared" si="205"/>
        <v xml:space="preserve"> </v>
      </c>
      <c r="AY485" s="137"/>
      <c r="AZ485" s="138">
        <f t="shared" si="206"/>
        <v>0</v>
      </c>
      <c r="BA485" s="135" t="str">
        <f t="shared" si="207"/>
        <v xml:space="preserve"> </v>
      </c>
      <c r="BB485" s="135">
        <f t="shared" si="208"/>
        <v>0</v>
      </c>
      <c r="BC485" s="135" t="str">
        <f t="shared" si="209"/>
        <v>no</v>
      </c>
      <c r="BD485" s="135" t="b">
        <f t="shared" si="210"/>
        <v>0</v>
      </c>
      <c r="BE485" s="139" t="s">
        <v>59</v>
      </c>
      <c r="BF485" s="136"/>
    </row>
    <row r="486" spans="1:59" s="265" customFormat="1" ht="232">
      <c r="A486" s="258" t="s">
        <v>1132</v>
      </c>
      <c r="B486" s="259" t="s">
        <v>1133</v>
      </c>
      <c r="C486" s="258"/>
      <c r="D486" s="258" t="s">
        <v>1134</v>
      </c>
      <c r="E486" s="258" t="s">
        <v>80</v>
      </c>
      <c r="F486" s="260" t="s">
        <v>1135</v>
      </c>
      <c r="G486" s="261" t="s">
        <v>1136</v>
      </c>
      <c r="H486" s="167">
        <v>44158</v>
      </c>
      <c r="I486" s="180">
        <v>44188</v>
      </c>
      <c r="J486" s="262">
        <v>44015</v>
      </c>
      <c r="K486" s="263">
        <v>44120</v>
      </c>
      <c r="L486" s="263">
        <v>44121</v>
      </c>
      <c r="M486" s="263" t="s">
        <v>48</v>
      </c>
      <c r="N486" s="263" t="s">
        <v>48</v>
      </c>
      <c r="O486" s="263"/>
      <c r="P486" s="263"/>
      <c r="Q486" s="258" t="s">
        <v>93</v>
      </c>
      <c r="R486" s="264" t="s">
        <v>1137</v>
      </c>
      <c r="S486" s="81">
        <f t="shared" ref="S486:S495" si="231">U486+V486</f>
        <v>23</v>
      </c>
      <c r="T486" s="81">
        <v>23</v>
      </c>
      <c r="U486" s="258">
        <v>0</v>
      </c>
      <c r="V486" s="472">
        <v>23</v>
      </c>
      <c r="W486" s="258"/>
      <c r="X486" s="258"/>
      <c r="Y486" s="258"/>
      <c r="Z486" s="258" t="s">
        <v>52</v>
      </c>
      <c r="AA486" s="258" t="s">
        <v>53</v>
      </c>
      <c r="AB486" s="81" t="s">
        <v>53</v>
      </c>
      <c r="AC486" s="258"/>
      <c r="AD486" s="258" t="s">
        <v>53</v>
      </c>
      <c r="AE486" s="258" t="s">
        <v>766</v>
      </c>
      <c r="AF486" s="258" t="s">
        <v>766</v>
      </c>
      <c r="AG486" s="149" t="s">
        <v>85</v>
      </c>
      <c r="AH486" s="258" t="s">
        <v>86</v>
      </c>
      <c r="AI486" s="258" t="s">
        <v>48</v>
      </c>
      <c r="AJ486" s="258"/>
      <c r="AK486" s="258"/>
      <c r="AL486" s="258" t="s">
        <v>57</v>
      </c>
      <c r="AM486" s="81"/>
      <c r="AN486" s="81" t="s">
        <v>1138</v>
      </c>
      <c r="AR486" s="135">
        <f>COUNTIF(B:B,B486)</f>
        <v>1</v>
      </c>
      <c r="AS486" s="135" t="str">
        <f t="shared" si="201"/>
        <v>2020_11_23_a</v>
      </c>
      <c r="AT486" s="136"/>
      <c r="AU486" s="135" t="str">
        <f t="shared" si="202"/>
        <v>2020</v>
      </c>
      <c r="AV486" s="135" t="str">
        <f t="shared" si="203"/>
        <v>11</v>
      </c>
      <c r="AW486" s="135" t="str">
        <f t="shared" si="204"/>
        <v>23</v>
      </c>
      <c r="AX486" s="135">
        <f t="shared" si="205"/>
        <v>44158</v>
      </c>
      <c r="AY486" s="137"/>
      <c r="AZ486" s="138">
        <f t="shared" si="206"/>
        <v>44158</v>
      </c>
      <c r="BA486" s="135" t="b">
        <f t="shared" si="207"/>
        <v>1</v>
      </c>
      <c r="BB486" s="135">
        <f t="shared" si="208"/>
        <v>44158</v>
      </c>
      <c r="BC486" s="135" t="str">
        <f t="shared" si="209"/>
        <v>no</v>
      </c>
      <c r="BD486" s="135" t="b">
        <f t="shared" si="210"/>
        <v>0</v>
      </c>
      <c r="BE486" s="139" t="s">
        <v>59</v>
      </c>
      <c r="BF486" s="136"/>
    </row>
    <row r="487" spans="1:59" s="265" customFormat="1" ht="154">
      <c r="A487" s="258"/>
      <c r="B487" s="259" t="s">
        <v>1139</v>
      </c>
      <c r="C487" s="258"/>
      <c r="D487" s="258">
        <v>10105318</v>
      </c>
      <c r="E487" s="258"/>
      <c r="F487" s="260" t="s">
        <v>1135</v>
      </c>
      <c r="G487" s="261" t="s">
        <v>1136</v>
      </c>
      <c r="H487" s="167">
        <v>44501</v>
      </c>
      <c r="I487" s="180">
        <v>44524</v>
      </c>
      <c r="J487" s="262"/>
      <c r="K487" s="263"/>
      <c r="L487" s="263"/>
      <c r="M487" s="263" t="s">
        <v>48</v>
      </c>
      <c r="N487" s="263" t="s">
        <v>48</v>
      </c>
      <c r="O487" s="263"/>
      <c r="P487" s="263"/>
      <c r="Q487" s="258" t="s">
        <v>106</v>
      </c>
      <c r="R487" s="264" t="s">
        <v>1140</v>
      </c>
      <c r="S487" s="81">
        <f t="shared" si="231"/>
        <v>34</v>
      </c>
      <c r="T487" s="81">
        <v>35</v>
      </c>
      <c r="U487" s="258">
        <v>0</v>
      </c>
      <c r="V487" s="472">
        <v>34</v>
      </c>
      <c r="W487" s="258"/>
      <c r="X487" s="258"/>
      <c r="Y487" s="258"/>
      <c r="Z487" s="258" t="s">
        <v>52</v>
      </c>
      <c r="AA487" s="258" t="s">
        <v>52</v>
      </c>
      <c r="AB487" s="258" t="s">
        <v>52</v>
      </c>
      <c r="AC487" s="258"/>
      <c r="AD487" s="258"/>
      <c r="AE487" s="258"/>
      <c r="AF487" s="258"/>
      <c r="AG487" s="149" t="s">
        <v>85</v>
      </c>
      <c r="AH487" s="258" t="s">
        <v>86</v>
      </c>
      <c r="AI487" s="258" t="s">
        <v>48</v>
      </c>
      <c r="AJ487" s="258"/>
      <c r="AK487" s="258">
        <v>33</v>
      </c>
      <c r="AL487" s="258" t="s">
        <v>57</v>
      </c>
      <c r="AM487" s="81"/>
      <c r="AN487" s="81"/>
      <c r="AR487" s="135">
        <f>COUNTIF(B:B,B487)</f>
        <v>1</v>
      </c>
      <c r="AS487" s="135" t="str">
        <f t="shared" si="201"/>
        <v>2021_11_01_a</v>
      </c>
      <c r="AT487" s="136"/>
      <c r="AU487" s="135" t="str">
        <f t="shared" si="202"/>
        <v>2021</v>
      </c>
      <c r="AV487" s="135" t="str">
        <f t="shared" si="203"/>
        <v>11</v>
      </c>
      <c r="AW487" s="135" t="str">
        <f t="shared" si="204"/>
        <v>01</v>
      </c>
      <c r="AX487" s="135">
        <f t="shared" si="205"/>
        <v>44501</v>
      </c>
      <c r="AY487" s="137"/>
      <c r="AZ487" s="138">
        <f t="shared" si="206"/>
        <v>44501</v>
      </c>
      <c r="BA487" s="135" t="b">
        <f t="shared" si="207"/>
        <v>1</v>
      </c>
      <c r="BB487" s="135">
        <f t="shared" si="208"/>
        <v>44501</v>
      </c>
      <c r="BC487" s="135" t="str">
        <f t="shared" si="209"/>
        <v>no</v>
      </c>
      <c r="BD487" s="135" t="b">
        <f t="shared" si="210"/>
        <v>0</v>
      </c>
      <c r="BE487" s="139" t="s">
        <v>59</v>
      </c>
      <c r="BF487" s="136"/>
    </row>
    <row r="488" spans="1:59" s="265" customFormat="1" ht="154">
      <c r="A488" s="258"/>
      <c r="B488" s="259" t="s">
        <v>1141</v>
      </c>
      <c r="C488" s="258"/>
      <c r="D488" s="258">
        <v>10105324</v>
      </c>
      <c r="E488" s="258"/>
      <c r="F488" s="260" t="s">
        <v>1135</v>
      </c>
      <c r="G488" s="261" t="s">
        <v>1142</v>
      </c>
      <c r="H488" s="167">
        <v>44531</v>
      </c>
      <c r="I488" s="180">
        <v>44540</v>
      </c>
      <c r="J488" s="262"/>
      <c r="K488" s="263"/>
      <c r="L488" s="263"/>
      <c r="M488" s="263" t="s">
        <v>48</v>
      </c>
      <c r="N488" s="263" t="s">
        <v>48</v>
      </c>
      <c r="O488" s="263"/>
      <c r="P488" s="263"/>
      <c r="Q488" s="258"/>
      <c r="R488" s="264" t="s">
        <v>1143</v>
      </c>
      <c r="S488" s="81">
        <f t="shared" si="231"/>
        <v>32</v>
      </c>
      <c r="T488" s="81">
        <v>32</v>
      </c>
      <c r="U488" s="258">
        <v>0</v>
      </c>
      <c r="V488" s="472">
        <v>32</v>
      </c>
      <c r="W488" s="258"/>
      <c r="X488" s="258"/>
      <c r="Y488" s="258"/>
      <c r="Z488" s="258" t="s">
        <v>52</v>
      </c>
      <c r="AA488" s="258" t="s">
        <v>52</v>
      </c>
      <c r="AB488" s="258" t="s">
        <v>52</v>
      </c>
      <c r="AC488" s="258"/>
      <c r="AD488" s="258"/>
      <c r="AE488" s="258"/>
      <c r="AF488" s="258" t="s">
        <v>1144</v>
      </c>
      <c r="AG488" s="258" t="s">
        <v>1144</v>
      </c>
      <c r="AH488" s="258" t="s">
        <v>48</v>
      </c>
      <c r="AI488" s="258"/>
      <c r="AJ488" s="258"/>
      <c r="AK488" s="258"/>
      <c r="AL488" s="258"/>
      <c r="AM488" s="81"/>
      <c r="AN488" s="81"/>
      <c r="AR488" s="135">
        <f>COUNTIF(B:B,B488)</f>
        <v>1</v>
      </c>
      <c r="AS488" s="135" t="str">
        <f t="shared" si="201"/>
        <v>2021_12_01_a</v>
      </c>
      <c r="AT488" s="136"/>
      <c r="AU488" s="135" t="str">
        <f t="shared" si="202"/>
        <v>2021</v>
      </c>
      <c r="AV488" s="135" t="str">
        <f t="shared" si="203"/>
        <v>12</v>
      </c>
      <c r="AW488" s="135" t="str">
        <f t="shared" si="204"/>
        <v>01</v>
      </c>
      <c r="AX488" s="135">
        <f t="shared" si="205"/>
        <v>44531</v>
      </c>
      <c r="AY488" s="137"/>
      <c r="AZ488" s="138">
        <f t="shared" si="206"/>
        <v>44531</v>
      </c>
      <c r="BA488" s="135" t="b">
        <f t="shared" si="207"/>
        <v>1</v>
      </c>
      <c r="BB488" s="135">
        <f t="shared" si="208"/>
        <v>44531</v>
      </c>
      <c r="BC488" s="135" t="str">
        <f t="shared" si="209"/>
        <v>no</v>
      </c>
      <c r="BD488" s="135" t="b">
        <f t="shared" si="210"/>
        <v>0</v>
      </c>
      <c r="BE488" s="139" t="s">
        <v>59</v>
      </c>
      <c r="BF488" s="136"/>
    </row>
    <row r="489" spans="1:59" s="265" customFormat="1" ht="154">
      <c r="A489" s="258"/>
      <c r="B489" s="259" t="s">
        <v>1145</v>
      </c>
      <c r="C489" s="258"/>
      <c r="D489" s="258">
        <v>10250934</v>
      </c>
      <c r="E489" s="258"/>
      <c r="F489" s="260" t="s">
        <v>1135</v>
      </c>
      <c r="G489" s="261" t="s">
        <v>1142</v>
      </c>
      <c r="H489" s="167">
        <v>44606</v>
      </c>
      <c r="I489" s="180">
        <v>44617</v>
      </c>
      <c r="J489" s="262"/>
      <c r="K489" s="263"/>
      <c r="L489" s="263"/>
      <c r="M489" s="263" t="s">
        <v>48</v>
      </c>
      <c r="N489" s="263" t="s">
        <v>48</v>
      </c>
      <c r="O489" s="263"/>
      <c r="P489" s="263"/>
      <c r="Q489" s="258"/>
      <c r="R489" s="264" t="s">
        <v>1146</v>
      </c>
      <c r="S489" s="81">
        <f t="shared" si="231"/>
        <v>17</v>
      </c>
      <c r="T489" s="81">
        <v>17</v>
      </c>
      <c r="U489" s="258">
        <v>0</v>
      </c>
      <c r="V489" s="472">
        <v>17</v>
      </c>
      <c r="W489" s="258" t="s">
        <v>463</v>
      </c>
      <c r="X489" s="258"/>
      <c r="Y489" s="258"/>
      <c r="Z489" s="258" t="s">
        <v>52</v>
      </c>
      <c r="AA489" s="258" t="s">
        <v>52</v>
      </c>
      <c r="AB489" s="258" t="s">
        <v>52</v>
      </c>
      <c r="AC489" s="258"/>
      <c r="AD489" s="258"/>
      <c r="AE489" s="258"/>
      <c r="AF489" s="258"/>
      <c r="AG489" s="149" t="s">
        <v>85</v>
      </c>
      <c r="AH489" s="258" t="s">
        <v>86</v>
      </c>
      <c r="AI489" s="258"/>
      <c r="AJ489" s="258"/>
      <c r="AK489" s="258"/>
      <c r="AL489" s="258" t="s">
        <v>57</v>
      </c>
      <c r="AM489" s="81"/>
      <c r="AN489" s="81"/>
      <c r="AR489" s="135">
        <f>COUNTIF(B:B,B489)</f>
        <v>1</v>
      </c>
      <c r="AS489" s="135" t="str">
        <f t="shared" si="201"/>
        <v>2022_02_14_a</v>
      </c>
      <c r="AT489" s="136"/>
      <c r="AU489" s="135" t="str">
        <f t="shared" si="202"/>
        <v>2022</v>
      </c>
      <c r="AV489" s="135" t="str">
        <f t="shared" si="203"/>
        <v>02</v>
      </c>
      <c r="AW489" s="135" t="str">
        <f t="shared" si="204"/>
        <v>14</v>
      </c>
      <c r="AX489" s="135">
        <f t="shared" si="205"/>
        <v>44606</v>
      </c>
      <c r="AY489" s="137"/>
      <c r="AZ489" s="138">
        <f t="shared" si="206"/>
        <v>44606</v>
      </c>
      <c r="BA489" s="135" t="b">
        <f t="shared" si="207"/>
        <v>1</v>
      </c>
      <c r="BB489" s="135">
        <f t="shared" si="208"/>
        <v>44606</v>
      </c>
      <c r="BC489" s="135" t="str">
        <f t="shared" si="209"/>
        <v>no</v>
      </c>
      <c r="BD489" s="135" t="b">
        <f t="shared" si="210"/>
        <v>0</v>
      </c>
      <c r="BE489" s="139" t="s">
        <v>59</v>
      </c>
      <c r="BF489" s="136"/>
    </row>
    <row r="490" spans="1:59" s="265" customFormat="1" ht="154">
      <c r="A490" s="258"/>
      <c r="B490" s="259" t="s">
        <v>1147</v>
      </c>
      <c r="C490" s="258"/>
      <c r="D490" s="258">
        <v>10260476</v>
      </c>
      <c r="E490" s="258"/>
      <c r="F490" s="260" t="s">
        <v>1135</v>
      </c>
      <c r="G490" s="261" t="s">
        <v>1142</v>
      </c>
      <c r="H490" s="167">
        <v>44641</v>
      </c>
      <c r="I490" s="180">
        <v>44652</v>
      </c>
      <c r="J490" s="262"/>
      <c r="K490" s="263"/>
      <c r="L490" s="263"/>
      <c r="M490" s="263" t="s">
        <v>48</v>
      </c>
      <c r="N490" s="263" t="s">
        <v>48</v>
      </c>
      <c r="O490" s="263"/>
      <c r="P490" s="263"/>
      <c r="Q490" s="258"/>
      <c r="R490" s="264" t="s">
        <v>1148</v>
      </c>
      <c r="S490" s="81">
        <f t="shared" si="231"/>
        <v>7</v>
      </c>
      <c r="T490" s="81">
        <v>7</v>
      </c>
      <c r="U490" s="258">
        <v>0</v>
      </c>
      <c r="V490" s="472">
        <v>7</v>
      </c>
      <c r="W490" s="258"/>
      <c r="X490" s="258"/>
      <c r="Y490" s="258"/>
      <c r="Z490" s="258" t="s">
        <v>52</v>
      </c>
      <c r="AA490" s="258" t="s">
        <v>52</v>
      </c>
      <c r="AB490" s="258" t="s">
        <v>52</v>
      </c>
      <c r="AC490" s="258"/>
      <c r="AD490" s="258"/>
      <c r="AE490" s="258"/>
      <c r="AF490" s="258"/>
      <c r="AG490" s="149" t="s">
        <v>85</v>
      </c>
      <c r="AH490" s="258" t="s">
        <v>86</v>
      </c>
      <c r="AI490" s="258"/>
      <c r="AJ490" s="258"/>
      <c r="AK490" s="258"/>
      <c r="AL490" s="258"/>
      <c r="AM490" s="81"/>
      <c r="AN490" s="81"/>
      <c r="AR490" s="135">
        <f>COUNTIF(B:B,B490)</f>
        <v>1</v>
      </c>
      <c r="AS490" s="135" t="str">
        <f t="shared" si="201"/>
        <v>2022_03_21_a</v>
      </c>
      <c r="AT490" s="136"/>
      <c r="AU490" s="135" t="str">
        <f t="shared" si="202"/>
        <v>2022</v>
      </c>
      <c r="AV490" s="135" t="str">
        <f t="shared" si="203"/>
        <v>03</v>
      </c>
      <c r="AW490" s="135" t="str">
        <f t="shared" si="204"/>
        <v>21</v>
      </c>
      <c r="AX490" s="135">
        <f t="shared" si="205"/>
        <v>44641</v>
      </c>
      <c r="AY490" s="137"/>
      <c r="AZ490" s="138">
        <f t="shared" si="206"/>
        <v>44641</v>
      </c>
      <c r="BA490" s="135" t="b">
        <f t="shared" si="207"/>
        <v>1</v>
      </c>
      <c r="BB490" s="135">
        <f t="shared" si="208"/>
        <v>44641</v>
      </c>
      <c r="BC490" s="135" t="str">
        <f t="shared" si="209"/>
        <v>no</v>
      </c>
      <c r="BD490" s="135" t="b">
        <f t="shared" si="210"/>
        <v>0</v>
      </c>
      <c r="BE490" s="139" t="s">
        <v>59</v>
      </c>
      <c r="BF490" s="136"/>
    </row>
    <row r="491" spans="1:59" s="265" customFormat="1" ht="154">
      <c r="A491" s="258"/>
      <c r="B491" s="259" t="s">
        <v>1149</v>
      </c>
      <c r="C491" s="258"/>
      <c r="D491" s="258">
        <v>10277269</v>
      </c>
      <c r="E491" s="258"/>
      <c r="F491" s="260" t="s">
        <v>1135</v>
      </c>
      <c r="G491" s="261" t="s">
        <v>1142</v>
      </c>
      <c r="H491" s="167">
        <v>44717</v>
      </c>
      <c r="I491" s="180">
        <v>44728</v>
      </c>
      <c r="J491" s="262"/>
      <c r="K491" s="263"/>
      <c r="L491" s="263"/>
      <c r="M491" s="263" t="s">
        <v>48</v>
      </c>
      <c r="N491" s="263" t="s">
        <v>48</v>
      </c>
      <c r="O491" s="263"/>
      <c r="P491" s="263"/>
      <c r="Q491" s="258"/>
      <c r="R491" s="264" t="s">
        <v>1150</v>
      </c>
      <c r="S491" s="81">
        <f>U491+V491</f>
        <v>16</v>
      </c>
      <c r="T491" s="81">
        <v>16</v>
      </c>
      <c r="U491" s="258">
        <v>0</v>
      </c>
      <c r="V491" s="472">
        <v>16</v>
      </c>
      <c r="W491" s="258" t="s">
        <v>463</v>
      </c>
      <c r="X491" s="258"/>
      <c r="Y491" s="258"/>
      <c r="Z491" s="258" t="s">
        <v>52</v>
      </c>
      <c r="AA491" s="258" t="s">
        <v>52</v>
      </c>
      <c r="AB491" s="258" t="s">
        <v>52</v>
      </c>
      <c r="AC491" s="258"/>
      <c r="AD491" s="258"/>
      <c r="AE491" s="258"/>
      <c r="AF491" s="258"/>
      <c r="AG491" s="149" t="s">
        <v>85</v>
      </c>
      <c r="AH491" s="258" t="s">
        <v>86</v>
      </c>
      <c r="AI491" s="258"/>
      <c r="AJ491" s="258"/>
      <c r="AK491" s="258"/>
      <c r="AL491" s="258"/>
      <c r="AM491" s="81"/>
      <c r="AN491" s="81"/>
      <c r="AR491" s="135">
        <f>COUNTIF(B:B,B491)</f>
        <v>1</v>
      </c>
      <c r="AS491" s="135" t="str">
        <f t="shared" si="201"/>
        <v>2022_06_05_a</v>
      </c>
      <c r="AT491" s="136"/>
      <c r="AU491" s="135" t="str">
        <f t="shared" si="202"/>
        <v>2022</v>
      </c>
      <c r="AV491" s="135" t="str">
        <f t="shared" si="203"/>
        <v>06</v>
      </c>
      <c r="AW491" s="135" t="str">
        <f t="shared" si="204"/>
        <v>05</v>
      </c>
      <c r="AX491" s="135">
        <f t="shared" si="205"/>
        <v>44717</v>
      </c>
      <c r="AY491" s="137"/>
      <c r="AZ491" s="138">
        <f t="shared" si="206"/>
        <v>44717</v>
      </c>
      <c r="BA491" s="135" t="b">
        <f t="shared" si="207"/>
        <v>1</v>
      </c>
      <c r="BB491" s="135">
        <f t="shared" si="208"/>
        <v>44717</v>
      </c>
      <c r="BC491" s="135" t="str">
        <f t="shared" si="209"/>
        <v>no</v>
      </c>
      <c r="BD491" s="135" t="b">
        <f t="shared" si="210"/>
        <v>0</v>
      </c>
      <c r="BE491" s="139" t="s">
        <v>59</v>
      </c>
      <c r="BF491" s="136"/>
    </row>
    <row r="492" spans="1:59" s="265" customFormat="1" ht="154">
      <c r="A492" s="258"/>
      <c r="B492" s="259" t="s">
        <v>1151</v>
      </c>
      <c r="C492" s="258"/>
      <c r="D492" s="258">
        <v>10310391</v>
      </c>
      <c r="E492" s="258"/>
      <c r="F492" s="260" t="s">
        <v>1135</v>
      </c>
      <c r="G492" s="261" t="s">
        <v>1142</v>
      </c>
      <c r="H492" s="167">
        <v>44843</v>
      </c>
      <c r="I492" s="180">
        <v>44863</v>
      </c>
      <c r="J492" s="262"/>
      <c r="K492" s="263"/>
      <c r="L492" s="263"/>
      <c r="M492" s="263" t="s">
        <v>48</v>
      </c>
      <c r="N492" s="263" t="s">
        <v>48</v>
      </c>
      <c r="O492" s="263"/>
      <c r="P492" s="263"/>
      <c r="Q492" s="258"/>
      <c r="R492" s="264" t="s">
        <v>1150</v>
      </c>
      <c r="S492" s="81">
        <f>U492+V492</f>
        <v>67</v>
      </c>
      <c r="T492" s="81">
        <v>67</v>
      </c>
      <c r="U492" s="258">
        <v>0</v>
      </c>
      <c r="V492" s="472">
        <v>67</v>
      </c>
      <c r="W492" s="258" t="s">
        <v>463</v>
      </c>
      <c r="X492" s="258"/>
      <c r="Y492" s="258"/>
      <c r="Z492" s="258" t="s">
        <v>52</v>
      </c>
      <c r="AA492" s="258" t="s">
        <v>52</v>
      </c>
      <c r="AB492" s="258" t="s">
        <v>52</v>
      </c>
      <c r="AC492" s="258"/>
      <c r="AD492" s="258"/>
      <c r="AE492" s="258"/>
      <c r="AF492" s="258"/>
      <c r="AG492" s="149" t="s">
        <v>85</v>
      </c>
      <c r="AH492" s="258" t="s">
        <v>86</v>
      </c>
      <c r="AI492" s="258"/>
      <c r="AJ492" s="258"/>
      <c r="AK492" s="258"/>
      <c r="AL492" s="258"/>
      <c r="AM492" s="81"/>
      <c r="AN492" s="81"/>
      <c r="AR492" s="135">
        <f>COUNTIF(B:B,B492)</f>
        <v>1</v>
      </c>
      <c r="AS492" s="135" t="str">
        <f t="shared" si="201"/>
        <v>2022_10_09_a</v>
      </c>
      <c r="AT492" s="136"/>
      <c r="AU492" s="135" t="str">
        <f t="shared" si="202"/>
        <v>2022</v>
      </c>
      <c r="AV492" s="135" t="str">
        <f t="shared" si="203"/>
        <v>10</v>
      </c>
      <c r="AW492" s="135" t="str">
        <f t="shared" si="204"/>
        <v>09</v>
      </c>
      <c r="AX492" s="135">
        <f t="shared" si="205"/>
        <v>44843</v>
      </c>
      <c r="AY492" s="137"/>
      <c r="AZ492" s="138">
        <f t="shared" si="206"/>
        <v>44843</v>
      </c>
      <c r="BA492" s="135" t="b">
        <f t="shared" si="207"/>
        <v>1</v>
      </c>
      <c r="BB492" s="135">
        <f t="shared" si="208"/>
        <v>44843</v>
      </c>
      <c r="BC492" s="135" t="str">
        <f t="shared" si="209"/>
        <v>no</v>
      </c>
      <c r="BD492" s="135" t="b">
        <f t="shared" si="210"/>
        <v>0</v>
      </c>
      <c r="BE492" s="139" t="s">
        <v>59</v>
      </c>
      <c r="BF492" s="136"/>
    </row>
    <row r="493" spans="1:59" s="265" customFormat="1" ht="154">
      <c r="A493" s="258"/>
      <c r="B493" s="259" t="s">
        <v>1152</v>
      </c>
      <c r="C493" s="258"/>
      <c r="D493" s="258"/>
      <c r="E493" s="258"/>
      <c r="F493" s="260" t="s">
        <v>1135</v>
      </c>
      <c r="G493" s="261" t="s">
        <v>1142</v>
      </c>
      <c r="H493" s="391" t="s">
        <v>1153</v>
      </c>
      <c r="I493" s="167" t="s">
        <v>1154</v>
      </c>
      <c r="J493" s="262"/>
      <c r="K493" s="263"/>
      <c r="L493" s="263"/>
      <c r="M493" s="263"/>
      <c r="N493" s="263"/>
      <c r="O493" s="263"/>
      <c r="P493" s="263"/>
      <c r="Q493" s="258"/>
      <c r="R493" s="264" t="s">
        <v>1155</v>
      </c>
      <c r="S493" s="81">
        <f>U493+V493</f>
        <v>33</v>
      </c>
      <c r="T493" s="81">
        <v>33</v>
      </c>
      <c r="U493" s="258">
        <v>0</v>
      </c>
      <c r="V493" s="472">
        <v>33</v>
      </c>
      <c r="W493" s="258"/>
      <c r="X493" s="258"/>
      <c r="Y493" s="258"/>
      <c r="Z493" s="258"/>
      <c r="AA493" s="258"/>
      <c r="AB493" s="258"/>
      <c r="AC493" s="258"/>
      <c r="AD493" s="258"/>
      <c r="AE493" s="258"/>
      <c r="AF493" s="258"/>
      <c r="AG493" s="472" t="s">
        <v>85</v>
      </c>
      <c r="AH493" s="258"/>
      <c r="AI493" s="258"/>
      <c r="AJ493" s="258"/>
      <c r="AK493" s="258"/>
      <c r="AL493" s="258"/>
      <c r="AM493" s="81"/>
      <c r="AN493" s="81"/>
      <c r="AR493" s="135">
        <f>COUNTIF(B:B,B493)</f>
        <v>1</v>
      </c>
      <c r="AS493" s="135" t="str">
        <f t="shared" si="201"/>
        <v>2023_03_19_a</v>
      </c>
      <c r="AT493" s="136"/>
      <c r="AU493" s="135" t="str">
        <f t="shared" si="202"/>
        <v>2023</v>
      </c>
      <c r="AV493" s="135" t="str">
        <f t="shared" si="203"/>
        <v>03</v>
      </c>
      <c r="AW493" s="135" t="str">
        <f t="shared" si="204"/>
        <v>19</v>
      </c>
      <c r="AX493" s="135">
        <f t="shared" si="205"/>
        <v>45004</v>
      </c>
      <c r="AY493" s="137"/>
      <c r="AZ493" s="138" t="str">
        <f t="shared" si="206"/>
        <v>19-03-2023</v>
      </c>
      <c r="BA493" s="135" t="b">
        <f t="shared" si="207"/>
        <v>0</v>
      </c>
      <c r="BB493" s="135" t="str">
        <f t="shared" si="208"/>
        <v>19-03-2023</v>
      </c>
      <c r="BC493" s="135" t="str">
        <f t="shared" si="209"/>
        <v>no</v>
      </c>
      <c r="BD493" s="135" t="b">
        <f t="shared" si="210"/>
        <v>0</v>
      </c>
      <c r="BE493" s="139" t="s">
        <v>59</v>
      </c>
      <c r="BF493" s="136"/>
    </row>
    <row r="494" spans="1:59" s="265" customFormat="1" ht="154">
      <c r="A494" s="263" t="s">
        <v>1156</v>
      </c>
      <c r="B494" s="180" t="s">
        <v>1157</v>
      </c>
      <c r="C494" s="258"/>
      <c r="D494" s="258" t="s">
        <v>1158</v>
      </c>
      <c r="E494" s="258" t="s">
        <v>80</v>
      </c>
      <c r="F494" s="260" t="s">
        <v>1159</v>
      </c>
      <c r="G494" s="261" t="s">
        <v>1160</v>
      </c>
      <c r="H494" s="262">
        <v>44173</v>
      </c>
      <c r="I494" s="263"/>
      <c r="J494" s="262">
        <f>H494+12</f>
        <v>44185</v>
      </c>
      <c r="K494" s="263"/>
      <c r="L494" s="263"/>
      <c r="M494" s="263"/>
      <c r="N494" s="263"/>
      <c r="O494" s="263"/>
      <c r="P494" s="263"/>
      <c r="Q494" s="258" t="s">
        <v>106</v>
      </c>
      <c r="R494" s="258" t="s">
        <v>1161</v>
      </c>
      <c r="S494" s="258">
        <f t="shared" si="231"/>
        <v>13</v>
      </c>
      <c r="T494" s="258">
        <v>12</v>
      </c>
      <c r="U494" s="258">
        <v>13</v>
      </c>
      <c r="V494" s="472">
        <v>0</v>
      </c>
      <c r="W494" s="258"/>
      <c r="X494" s="258"/>
      <c r="Y494" s="258"/>
      <c r="Z494" s="258" t="s">
        <v>52</v>
      </c>
      <c r="AA494" s="258" t="s">
        <v>766</v>
      </c>
      <c r="AB494" s="258" t="s">
        <v>52</v>
      </c>
      <c r="AC494" s="258"/>
      <c r="AD494" s="258" t="s">
        <v>766</v>
      </c>
      <c r="AE494" s="149" t="s">
        <v>54</v>
      </c>
      <c r="AF494" s="149" t="s">
        <v>54</v>
      </c>
      <c r="AG494" s="472" t="s">
        <v>85</v>
      </c>
      <c r="AH494" s="258" t="s">
        <v>86</v>
      </c>
      <c r="AI494" s="258"/>
      <c r="AJ494" s="258"/>
      <c r="AK494" s="258"/>
      <c r="AL494" s="258" t="s">
        <v>1162</v>
      </c>
      <c r="AM494" s="258"/>
      <c r="AN494" s="258" t="s">
        <v>1163</v>
      </c>
      <c r="AR494" s="135">
        <f>COUNTIF(B:B,B494)</f>
        <v>1</v>
      </c>
      <c r="AS494" s="135" t="str">
        <f t="shared" si="201"/>
        <v>2020_12_08_a</v>
      </c>
      <c r="AT494" s="136"/>
      <c r="AU494" s="135" t="str">
        <f t="shared" si="202"/>
        <v>2020</v>
      </c>
      <c r="AV494" s="135" t="str">
        <f t="shared" si="203"/>
        <v>12</v>
      </c>
      <c r="AW494" s="135" t="str">
        <f t="shared" si="204"/>
        <v>08</v>
      </c>
      <c r="AX494" s="135">
        <f t="shared" si="205"/>
        <v>44173</v>
      </c>
      <c r="AY494" s="137"/>
      <c r="AZ494" s="138">
        <f t="shared" si="206"/>
        <v>44173</v>
      </c>
      <c r="BA494" s="135" t="b">
        <f t="shared" si="207"/>
        <v>1</v>
      </c>
      <c r="BB494" s="135">
        <f t="shared" si="208"/>
        <v>44173</v>
      </c>
      <c r="BC494" s="135" t="str">
        <f t="shared" si="209"/>
        <v>no</v>
      </c>
      <c r="BD494" s="135" t="b">
        <f t="shared" si="210"/>
        <v>0</v>
      </c>
      <c r="BE494" s="139" t="s">
        <v>59</v>
      </c>
      <c r="BF494" s="136"/>
    </row>
    <row r="495" spans="1:59" s="265" customFormat="1" ht="154">
      <c r="A495" s="263"/>
      <c r="B495" s="180" t="s">
        <v>1164</v>
      </c>
      <c r="C495" s="258"/>
      <c r="D495" s="258">
        <v>10232746</v>
      </c>
      <c r="E495" s="258"/>
      <c r="F495" s="260" t="s">
        <v>1159</v>
      </c>
      <c r="G495" s="266">
        <v>44528</v>
      </c>
      <c r="H495" s="267">
        <v>44535</v>
      </c>
      <c r="I495" s="268"/>
      <c r="J495" s="267">
        <v>44549</v>
      </c>
      <c r="K495" s="268"/>
      <c r="L495" s="268"/>
      <c r="M495" s="268"/>
      <c r="N495" s="268"/>
      <c r="O495" s="268"/>
      <c r="P495" s="268"/>
      <c r="Q495" s="269" t="s">
        <v>106</v>
      </c>
      <c r="R495" s="270" t="s">
        <v>1165</v>
      </c>
      <c r="S495" s="258">
        <f t="shared" si="231"/>
        <v>9</v>
      </c>
      <c r="T495" s="258">
        <v>9</v>
      </c>
      <c r="U495" s="258">
        <v>9</v>
      </c>
      <c r="V495" s="472">
        <v>0</v>
      </c>
      <c r="W495" s="258" t="s">
        <v>463</v>
      </c>
      <c r="X495" s="258" t="s">
        <v>1166</v>
      </c>
      <c r="Y495" s="258"/>
      <c r="Z495" s="258"/>
      <c r="AA495" s="258"/>
      <c r="AB495" s="258" t="s">
        <v>54</v>
      </c>
      <c r="AC495" s="258"/>
      <c r="AD495" s="258"/>
      <c r="AE495" s="149"/>
      <c r="AF495" s="149"/>
      <c r="AG495" s="472" t="s">
        <v>85</v>
      </c>
      <c r="AH495" s="258" t="s">
        <v>86</v>
      </c>
      <c r="AI495" s="258"/>
      <c r="AJ495" s="258"/>
      <c r="AK495" s="258"/>
      <c r="AL495" s="258"/>
      <c r="AM495" s="258"/>
      <c r="AN495" s="258" t="s">
        <v>1167</v>
      </c>
      <c r="AR495" s="135">
        <f>COUNTIF(B:B,B495)</f>
        <v>1</v>
      </c>
      <c r="AS495" s="135" t="str">
        <f t="shared" si="201"/>
        <v>2021_12_05_a</v>
      </c>
      <c r="AT495" s="136"/>
      <c r="AU495" s="135" t="str">
        <f t="shared" si="202"/>
        <v>2021</v>
      </c>
      <c r="AV495" s="135" t="str">
        <f t="shared" si="203"/>
        <v>12</v>
      </c>
      <c r="AW495" s="135" t="str">
        <f t="shared" si="204"/>
        <v>05</v>
      </c>
      <c r="AX495" s="135">
        <f t="shared" si="205"/>
        <v>44535</v>
      </c>
      <c r="AY495" s="137"/>
      <c r="AZ495" s="138">
        <f t="shared" si="206"/>
        <v>44535</v>
      </c>
      <c r="BA495" s="135" t="b">
        <f t="shared" si="207"/>
        <v>1</v>
      </c>
      <c r="BB495" s="135">
        <f t="shared" si="208"/>
        <v>44535</v>
      </c>
      <c r="BC495" s="135" t="str">
        <f t="shared" si="209"/>
        <v>no</v>
      </c>
      <c r="BD495" s="135" t="b">
        <f t="shared" si="210"/>
        <v>0</v>
      </c>
      <c r="BE495" s="139" t="s">
        <v>59</v>
      </c>
      <c r="BF495" s="136"/>
    </row>
    <row r="496" spans="1:59" s="126" customFormat="1" ht="154">
      <c r="A496" s="472"/>
      <c r="B496" s="472"/>
      <c r="C496" s="472"/>
      <c r="D496" s="472"/>
      <c r="E496" s="472"/>
      <c r="F496" s="502" t="s">
        <v>362</v>
      </c>
      <c r="G496" s="503"/>
      <c r="H496" s="503"/>
      <c r="I496" s="503"/>
      <c r="J496" s="503"/>
      <c r="K496" s="503"/>
      <c r="L496" s="503"/>
      <c r="M496" s="503"/>
      <c r="N496" s="503"/>
      <c r="O496" s="503"/>
      <c r="P496" s="503"/>
      <c r="Q496" s="503"/>
      <c r="R496" s="504"/>
      <c r="S496" s="472">
        <f>SUMIFS(S486:S494, AA486:AA494, "=Complete")</f>
        <v>173</v>
      </c>
      <c r="T496" s="472"/>
      <c r="U496" s="23">
        <f>SUMIFS(U486:U494, Z486:Z494, "=Complete")</f>
        <v>13</v>
      </c>
      <c r="V496" s="472">
        <f>SUMIFS(V486:V494, Z486:Z494, "=Complete")</f>
        <v>196</v>
      </c>
      <c r="W496" s="472"/>
      <c r="X496" s="192"/>
      <c r="Y496" s="192"/>
      <c r="Z496" s="472"/>
      <c r="AA496" s="472">
        <f>COUNTIFS(AA486:AA494, "=Complete")</f>
        <v>6</v>
      </c>
      <c r="AB496" s="472"/>
      <c r="AC496" s="472"/>
      <c r="AD496" s="472"/>
      <c r="AE496" s="472"/>
      <c r="AF496" s="472"/>
      <c r="AG496" s="472">
        <f>COUNTIFS(AG486:AG494, "=Legacy")</f>
        <v>0</v>
      </c>
      <c r="AH496" s="472">
        <f>COUNTIFS(AH486:AH494, "=Virtual")</f>
        <v>7</v>
      </c>
      <c r="AI496" s="472"/>
      <c r="AJ496" s="472"/>
      <c r="AK496" s="472"/>
      <c r="AL496" s="472"/>
      <c r="AM496" s="472"/>
      <c r="AN496" s="472"/>
      <c r="AO496" s="472"/>
      <c r="AP496" s="472"/>
      <c r="AQ496" s="472"/>
      <c r="AR496" s="135">
        <f>COUNTIF(B:B,B496)</f>
        <v>0</v>
      </c>
      <c r="AS496" s="135">
        <f t="shared" si="201"/>
        <v>0</v>
      </c>
      <c r="AT496" s="136"/>
      <c r="AU496" s="135" t="str">
        <f t="shared" si="202"/>
        <v>0</v>
      </c>
      <c r="AV496" s="135" t="str">
        <f t="shared" si="203"/>
        <v/>
      </c>
      <c r="AW496" s="135" t="str">
        <f t="shared" si="204"/>
        <v/>
      </c>
      <c r="AX496" s="135" t="str">
        <f t="shared" si="205"/>
        <v xml:space="preserve"> </v>
      </c>
      <c r="AY496" s="137"/>
      <c r="AZ496" s="138">
        <f t="shared" si="206"/>
        <v>0</v>
      </c>
      <c r="BA496" s="135" t="str">
        <f t="shared" si="207"/>
        <v xml:space="preserve"> </v>
      </c>
      <c r="BB496" s="135">
        <f t="shared" si="208"/>
        <v>0</v>
      </c>
      <c r="BC496" s="135" t="str">
        <f t="shared" si="209"/>
        <v>no</v>
      </c>
      <c r="BD496" s="135" t="b">
        <f t="shared" si="210"/>
        <v>0</v>
      </c>
      <c r="BE496" s="139" t="s">
        <v>59</v>
      </c>
      <c r="BF496" s="136"/>
      <c r="BG496" s="472"/>
    </row>
    <row r="497" spans="1:59" s="126" customFormat="1" ht="154">
      <c r="A497" s="472"/>
      <c r="B497" s="472"/>
      <c r="C497" s="472"/>
      <c r="D497" s="472"/>
      <c r="E497" s="472"/>
      <c r="F497" s="492" t="s">
        <v>363</v>
      </c>
      <c r="G497" s="492"/>
      <c r="H497" s="492"/>
      <c r="I497" s="492"/>
      <c r="J497" s="492"/>
      <c r="K497" s="492"/>
      <c r="L497" s="492"/>
      <c r="M497" s="492"/>
      <c r="N497" s="492"/>
      <c r="O497" s="492"/>
      <c r="P497" s="492"/>
      <c r="Q497" s="492"/>
      <c r="R497" s="492"/>
      <c r="S497" s="472">
        <f>SUMIFS(S486:S494, AA486:AA494, "=In Progress")</f>
        <v>23</v>
      </c>
      <c r="T497" s="472"/>
      <c r="U497" s="23">
        <f>SUMIFS(U486:U494, Z486:Z494, "=In Progress")</f>
        <v>0</v>
      </c>
      <c r="V497" s="472">
        <f>SUMIFS(V486:V494, Z486:Z494, "=In Progress")</f>
        <v>0</v>
      </c>
      <c r="W497" s="472"/>
      <c r="X497" s="192"/>
      <c r="Y497" s="192"/>
      <c r="Z497" s="472"/>
      <c r="AA497" s="472">
        <f>COUNTIFS(AA486:AA494, "=In Progress")</f>
        <v>1</v>
      </c>
      <c r="AB497" s="472"/>
      <c r="AC497" s="472"/>
      <c r="AD497" s="472"/>
      <c r="AE497" s="472"/>
      <c r="AF497" s="472"/>
      <c r="AG497" s="472"/>
      <c r="AH497" s="472"/>
      <c r="AI497" s="472"/>
      <c r="AJ497" s="472"/>
      <c r="AK497" s="472"/>
      <c r="AL497" s="472"/>
      <c r="AM497" s="472"/>
      <c r="AN497" s="472"/>
      <c r="AO497" s="472"/>
      <c r="AP497" s="472"/>
      <c r="AQ497" s="472"/>
      <c r="AR497" s="135">
        <f>COUNTIF(B:B,B497)</f>
        <v>0</v>
      </c>
      <c r="AS497" s="135">
        <f t="shared" si="201"/>
        <v>0</v>
      </c>
      <c r="AT497" s="136"/>
      <c r="AU497" s="135" t="str">
        <f t="shared" si="202"/>
        <v>0</v>
      </c>
      <c r="AV497" s="135" t="str">
        <f t="shared" si="203"/>
        <v/>
      </c>
      <c r="AW497" s="135" t="str">
        <f t="shared" si="204"/>
        <v/>
      </c>
      <c r="AX497" s="135" t="str">
        <f t="shared" si="205"/>
        <v xml:space="preserve"> </v>
      </c>
      <c r="AY497" s="137"/>
      <c r="AZ497" s="138">
        <f t="shared" si="206"/>
        <v>0</v>
      </c>
      <c r="BA497" s="135" t="str">
        <f t="shared" si="207"/>
        <v xml:space="preserve"> </v>
      </c>
      <c r="BB497" s="135">
        <f t="shared" si="208"/>
        <v>0</v>
      </c>
      <c r="BC497" s="135" t="str">
        <f t="shared" si="209"/>
        <v>no</v>
      </c>
      <c r="BD497" s="135" t="b">
        <f t="shared" si="210"/>
        <v>1</v>
      </c>
      <c r="BE497" s="139" t="s">
        <v>59</v>
      </c>
      <c r="BF497" s="136"/>
      <c r="BG497" s="472"/>
    </row>
    <row r="498" spans="1:59" s="126" customFormat="1" ht="154">
      <c r="A498" s="472"/>
      <c r="B498" s="472"/>
      <c r="C498" s="472"/>
      <c r="D498" s="472"/>
      <c r="E498" s="472"/>
      <c r="F498" s="492" t="s">
        <v>223</v>
      </c>
      <c r="G498" s="493"/>
      <c r="H498" s="493"/>
      <c r="I498" s="493"/>
      <c r="J498" s="493"/>
      <c r="K498" s="493"/>
      <c r="L498" s="493"/>
      <c r="M498" s="493"/>
      <c r="N498" s="493"/>
      <c r="O498" s="493"/>
      <c r="P498" s="493"/>
      <c r="Q498" s="493"/>
      <c r="R498" s="493"/>
      <c r="S498" s="472">
        <f>SUMIFS(S486:S494, AA486:AA494, "=Planned")</f>
        <v>0</v>
      </c>
      <c r="T498" s="472"/>
      <c r="U498" s="23">
        <f>SUMIFS(U486:U494, Z486:Z494, "=Planned")</f>
        <v>0</v>
      </c>
      <c r="V498" s="472">
        <f>SUMIFS(V486:V494, Z486:Z494, "=Planned")</f>
        <v>0</v>
      </c>
      <c r="W498" s="472"/>
      <c r="X498" s="192"/>
      <c r="Y498" s="192"/>
      <c r="Z498" s="472"/>
      <c r="AA498" s="472">
        <f>COUNTIFS(AA486:AA494, "=Planned")</f>
        <v>0</v>
      </c>
      <c r="AB498" s="472"/>
      <c r="AC498" s="472"/>
      <c r="AD498" s="472"/>
      <c r="AE498" s="472"/>
      <c r="AF498" s="472"/>
      <c r="AG498" s="472">
        <f>COUNTIFS(AG486:AG494, "=New")</f>
        <v>0</v>
      </c>
      <c r="AH498" s="472">
        <f>COUNTIFS(AH486:AH494, "=F2F")</f>
        <v>0</v>
      </c>
      <c r="AI498" s="472"/>
      <c r="AJ498" s="472"/>
      <c r="AK498" s="472"/>
      <c r="AL498" s="472"/>
      <c r="AM498" s="472"/>
      <c r="AN498" s="472"/>
      <c r="AO498" s="472"/>
      <c r="AP498" s="472"/>
      <c r="AQ498" s="472"/>
      <c r="AR498" s="135">
        <f>COUNTIF(B:B,B498)</f>
        <v>0</v>
      </c>
      <c r="AS498" s="135">
        <f t="shared" si="201"/>
        <v>0</v>
      </c>
      <c r="AT498" s="136"/>
      <c r="AU498" s="135" t="str">
        <f t="shared" si="202"/>
        <v>0</v>
      </c>
      <c r="AV498" s="135" t="str">
        <f t="shared" si="203"/>
        <v/>
      </c>
      <c r="AW498" s="135" t="str">
        <f t="shared" si="204"/>
        <v/>
      </c>
      <c r="AX498" s="135" t="str">
        <f t="shared" si="205"/>
        <v xml:space="preserve"> </v>
      </c>
      <c r="AY498" s="137"/>
      <c r="AZ498" s="138">
        <f t="shared" si="206"/>
        <v>0</v>
      </c>
      <c r="BA498" s="135" t="str">
        <f t="shared" si="207"/>
        <v xml:space="preserve"> </v>
      </c>
      <c r="BB498" s="135">
        <f t="shared" si="208"/>
        <v>0</v>
      </c>
      <c r="BC498" s="135" t="str">
        <f t="shared" si="209"/>
        <v>no</v>
      </c>
      <c r="BD498" s="135" t="b">
        <f t="shared" si="210"/>
        <v>1</v>
      </c>
      <c r="BE498" s="139" t="s">
        <v>59</v>
      </c>
      <c r="BF498" s="136"/>
      <c r="BG498" s="472"/>
    </row>
    <row r="499" spans="1:59" s="126" customFormat="1" ht="154">
      <c r="A499" s="472"/>
      <c r="B499" s="472"/>
      <c r="C499" s="472"/>
      <c r="D499" s="472"/>
      <c r="E499" s="472"/>
      <c r="F499" s="492" t="s">
        <v>224</v>
      </c>
      <c r="G499" s="492"/>
      <c r="H499" s="492"/>
      <c r="I499" s="492"/>
      <c r="J499" s="492"/>
      <c r="K499" s="492"/>
      <c r="L499" s="492"/>
      <c r="M499" s="492"/>
      <c r="N499" s="492"/>
      <c r="O499" s="492"/>
      <c r="P499" s="492"/>
      <c r="Q499" s="492"/>
      <c r="R499" s="492"/>
      <c r="S499" s="472">
        <f>SUMIFS(S486:S494, AA486:AA494, "=Tentative")</f>
        <v>13</v>
      </c>
      <c r="T499" s="472"/>
      <c r="U499" s="23">
        <f>SUMIFS(U486:U494, Z486:Z494, "=Tentative")</f>
        <v>0</v>
      </c>
      <c r="V499" s="472">
        <f>SUMIFS(V486:V494, Z486:Z494, "=Tentative")</f>
        <v>0</v>
      </c>
      <c r="W499" s="472"/>
      <c r="X499" s="192"/>
      <c r="Y499" s="192"/>
      <c r="Z499" s="472"/>
      <c r="AA499" s="472">
        <f>COUNTIFS(AA486:AA494, "=Tentative")</f>
        <v>1</v>
      </c>
      <c r="AB499" s="472"/>
      <c r="AC499" s="472"/>
      <c r="AD499" s="472"/>
      <c r="AE499" s="472"/>
      <c r="AF499" s="472"/>
      <c r="AG499" s="472"/>
      <c r="AH499" s="472"/>
      <c r="AI499" s="472"/>
      <c r="AJ499" s="472"/>
      <c r="AK499" s="472"/>
      <c r="AL499" s="472"/>
      <c r="AM499" s="472"/>
      <c r="AN499" s="472"/>
      <c r="AO499" s="472"/>
      <c r="AP499" s="472"/>
      <c r="AQ499" s="472"/>
      <c r="AR499" s="135">
        <f>COUNTIF(B:B,B499)</f>
        <v>0</v>
      </c>
      <c r="AS499" s="135">
        <f t="shared" si="201"/>
        <v>0</v>
      </c>
      <c r="AT499" s="136"/>
      <c r="AU499" s="135" t="str">
        <f t="shared" si="202"/>
        <v>0</v>
      </c>
      <c r="AV499" s="135" t="str">
        <f t="shared" si="203"/>
        <v/>
      </c>
      <c r="AW499" s="135" t="str">
        <f t="shared" si="204"/>
        <v/>
      </c>
      <c r="AX499" s="135" t="str">
        <f t="shared" si="205"/>
        <v xml:space="preserve"> </v>
      </c>
      <c r="AY499" s="137"/>
      <c r="AZ499" s="138">
        <f t="shared" si="206"/>
        <v>0</v>
      </c>
      <c r="BA499" s="135" t="str">
        <f t="shared" si="207"/>
        <v xml:space="preserve"> </v>
      </c>
      <c r="BB499" s="135">
        <f t="shared" si="208"/>
        <v>0</v>
      </c>
      <c r="BC499" s="135" t="str">
        <f t="shared" si="209"/>
        <v>no</v>
      </c>
      <c r="BD499" s="135" t="b">
        <f t="shared" si="210"/>
        <v>1</v>
      </c>
      <c r="BE499" s="139" t="s">
        <v>59</v>
      </c>
      <c r="BF499" s="136"/>
      <c r="BG499" s="472"/>
    </row>
    <row r="500" spans="1:59" s="126" customFormat="1" ht="154">
      <c r="A500" s="472"/>
      <c r="B500" s="472"/>
      <c r="C500" s="472"/>
      <c r="D500" s="472"/>
      <c r="E500" s="472"/>
      <c r="F500" s="494" t="s">
        <v>225</v>
      </c>
      <c r="G500" s="493"/>
      <c r="H500" s="493"/>
      <c r="I500" s="493"/>
      <c r="J500" s="493"/>
      <c r="K500" s="493"/>
      <c r="L500" s="493"/>
      <c r="M500" s="493"/>
      <c r="N500" s="493"/>
      <c r="O500" s="493"/>
      <c r="P500" s="493"/>
      <c r="Q500" s="493"/>
      <c r="R500" s="493"/>
      <c r="S500" s="473">
        <f>SUM(S486:S494)</f>
        <v>242</v>
      </c>
      <c r="T500" s="472"/>
      <c r="U500" s="162">
        <f>SUM(U486:U494)</f>
        <v>13</v>
      </c>
      <c r="V500" s="471">
        <f>SUM(V486:V494)</f>
        <v>229</v>
      </c>
      <c r="W500" s="472"/>
      <c r="X500" s="192"/>
      <c r="Y500" s="192"/>
      <c r="Z500" s="472"/>
      <c r="AA500" s="472"/>
      <c r="AB500" s="472"/>
      <c r="AC500" s="472"/>
      <c r="AD500" s="472"/>
      <c r="AE500" s="472"/>
      <c r="AF500" s="472"/>
      <c r="AG500" s="472"/>
      <c r="AH500" s="472"/>
      <c r="AI500" s="472"/>
      <c r="AJ500" s="472"/>
      <c r="AK500" s="472"/>
      <c r="AL500" s="472"/>
      <c r="AM500" s="472"/>
      <c r="AN500" s="472"/>
      <c r="AO500" s="472"/>
      <c r="AP500" s="472"/>
      <c r="AQ500" s="472"/>
      <c r="AR500" s="135">
        <f>COUNTIF(B:B,B500)</f>
        <v>0</v>
      </c>
      <c r="AS500" s="135">
        <f t="shared" si="201"/>
        <v>0</v>
      </c>
      <c r="AT500" s="136"/>
      <c r="AU500" s="135" t="str">
        <f t="shared" si="202"/>
        <v>0</v>
      </c>
      <c r="AV500" s="135" t="str">
        <f t="shared" si="203"/>
        <v/>
      </c>
      <c r="AW500" s="135" t="str">
        <f t="shared" si="204"/>
        <v/>
      </c>
      <c r="AX500" s="135" t="str">
        <f t="shared" si="205"/>
        <v xml:space="preserve"> </v>
      </c>
      <c r="AY500" s="137"/>
      <c r="AZ500" s="138">
        <f t="shared" si="206"/>
        <v>0</v>
      </c>
      <c r="BA500" s="135" t="str">
        <f t="shared" si="207"/>
        <v xml:space="preserve"> </v>
      </c>
      <c r="BB500" s="135">
        <f t="shared" si="208"/>
        <v>0</v>
      </c>
      <c r="BC500" s="135" t="str">
        <f t="shared" si="209"/>
        <v>no</v>
      </c>
      <c r="BD500" s="135" t="b">
        <f t="shared" si="210"/>
        <v>0</v>
      </c>
      <c r="BE500" s="139" t="s">
        <v>59</v>
      </c>
      <c r="BF500" s="136"/>
      <c r="BG500" s="472"/>
    </row>
    <row r="501" spans="1:59" s="265" customFormat="1" ht="154">
      <c r="A501" s="128" t="s">
        <v>1168</v>
      </c>
      <c r="B501" s="128" t="s">
        <v>1169</v>
      </c>
      <c r="C501" s="258"/>
      <c r="D501" s="258">
        <v>10080660</v>
      </c>
      <c r="E501" s="258" t="s">
        <v>80</v>
      </c>
      <c r="F501" s="260" t="s">
        <v>1170</v>
      </c>
      <c r="G501" s="261">
        <v>43922</v>
      </c>
      <c r="H501" s="262">
        <v>43927</v>
      </c>
      <c r="I501" s="263">
        <v>43971</v>
      </c>
      <c r="J501" s="262">
        <v>43972</v>
      </c>
      <c r="K501" s="263">
        <v>44073</v>
      </c>
      <c r="L501" s="263">
        <v>44075</v>
      </c>
      <c r="M501" s="263">
        <v>44091</v>
      </c>
      <c r="N501" s="263">
        <v>44172</v>
      </c>
      <c r="O501" s="263">
        <v>44123</v>
      </c>
      <c r="P501" s="263">
        <v>44183</v>
      </c>
      <c r="Q501" s="258" t="s">
        <v>1171</v>
      </c>
      <c r="R501" s="258" t="s">
        <v>1172</v>
      </c>
      <c r="S501" s="258">
        <f t="shared" ref="S501:S510" si="232">U501+V501</f>
        <v>14</v>
      </c>
      <c r="T501" s="258"/>
      <c r="U501" s="258">
        <v>14</v>
      </c>
      <c r="V501" s="472">
        <v>0</v>
      </c>
      <c r="W501" s="258" t="s">
        <v>1173</v>
      </c>
      <c r="X501" s="258"/>
      <c r="Y501" s="258"/>
      <c r="Z501" s="263" t="s">
        <v>52</v>
      </c>
      <c r="AA501" s="263" t="s">
        <v>53</v>
      </c>
      <c r="AB501" s="263" t="s">
        <v>52</v>
      </c>
      <c r="AC501" s="263" t="s">
        <v>52</v>
      </c>
      <c r="AD501" s="263" t="s">
        <v>52</v>
      </c>
      <c r="AE501" s="263" t="s">
        <v>54</v>
      </c>
      <c r="AF501" s="263" t="s">
        <v>54</v>
      </c>
      <c r="AG501" s="472" t="s">
        <v>85</v>
      </c>
      <c r="AH501" s="258" t="s">
        <v>86</v>
      </c>
      <c r="AI501" s="258" t="s">
        <v>86</v>
      </c>
      <c r="AJ501" s="258"/>
      <c r="AK501" s="258">
        <v>44</v>
      </c>
      <c r="AL501" s="258" t="s">
        <v>1174</v>
      </c>
      <c r="AM501" s="258"/>
      <c r="AN501" s="258" t="s">
        <v>1175</v>
      </c>
      <c r="AR501" s="135">
        <f>COUNTIF(B:B,B501)</f>
        <v>1</v>
      </c>
      <c r="AS501" s="135" t="str">
        <f t="shared" si="201"/>
        <v>2020_04_06_a</v>
      </c>
      <c r="AT501" s="136"/>
      <c r="AU501" s="135" t="str">
        <f t="shared" si="202"/>
        <v>2020</v>
      </c>
      <c r="AV501" s="135" t="str">
        <f t="shared" si="203"/>
        <v>04</v>
      </c>
      <c r="AW501" s="135" t="str">
        <f t="shared" si="204"/>
        <v>06</v>
      </c>
      <c r="AX501" s="135">
        <f t="shared" si="205"/>
        <v>43927</v>
      </c>
      <c r="AY501" s="137"/>
      <c r="AZ501" s="138">
        <f t="shared" si="206"/>
        <v>43927</v>
      </c>
      <c r="BA501" s="135" t="b">
        <f t="shared" si="207"/>
        <v>1</v>
      </c>
      <c r="BB501" s="135">
        <f t="shared" si="208"/>
        <v>43927</v>
      </c>
      <c r="BC501" s="135" t="str">
        <f t="shared" si="209"/>
        <v>no</v>
      </c>
      <c r="BD501" s="135" t="b">
        <f t="shared" si="210"/>
        <v>0</v>
      </c>
      <c r="BE501" s="139" t="s">
        <v>59</v>
      </c>
      <c r="BF501" s="136"/>
    </row>
    <row r="502" spans="1:59" s="265" customFormat="1" ht="154">
      <c r="A502" s="128" t="s">
        <v>1176</v>
      </c>
      <c r="B502" s="128" t="s">
        <v>1177</v>
      </c>
      <c r="C502" s="258"/>
      <c r="D502" s="258">
        <v>10081876</v>
      </c>
      <c r="E502" s="258" t="s">
        <v>80</v>
      </c>
      <c r="F502" s="260" t="s">
        <v>1170</v>
      </c>
      <c r="G502" s="261">
        <v>43922</v>
      </c>
      <c r="H502" s="262">
        <v>43927</v>
      </c>
      <c r="I502" s="263">
        <v>43971</v>
      </c>
      <c r="J502" s="262">
        <v>43972</v>
      </c>
      <c r="K502" s="263">
        <v>44043</v>
      </c>
      <c r="L502" s="263">
        <v>44044</v>
      </c>
      <c r="M502" s="263">
        <v>44091</v>
      </c>
      <c r="N502" s="263">
        <v>44172</v>
      </c>
      <c r="O502" s="263">
        <v>44123</v>
      </c>
      <c r="P502" s="263">
        <v>44183</v>
      </c>
      <c r="Q502" s="258" t="s">
        <v>1171</v>
      </c>
      <c r="R502" s="258" t="s">
        <v>1172</v>
      </c>
      <c r="S502" s="258">
        <f t="shared" si="232"/>
        <v>9</v>
      </c>
      <c r="T502" s="258"/>
      <c r="U502" s="258">
        <v>9</v>
      </c>
      <c r="V502" s="472">
        <v>0</v>
      </c>
      <c r="W502" s="258" t="s">
        <v>1173</v>
      </c>
      <c r="X502" s="258"/>
      <c r="Y502" s="258"/>
      <c r="Z502" s="263" t="s">
        <v>52</v>
      </c>
      <c r="AA502" s="263" t="s">
        <v>53</v>
      </c>
      <c r="AB502" s="263" t="s">
        <v>52</v>
      </c>
      <c r="AC502" s="263" t="s">
        <v>52</v>
      </c>
      <c r="AD502" s="263" t="s">
        <v>52</v>
      </c>
      <c r="AE502" s="263" t="s">
        <v>54</v>
      </c>
      <c r="AF502" s="263" t="s">
        <v>54</v>
      </c>
      <c r="AG502" s="472" t="s">
        <v>85</v>
      </c>
      <c r="AH502" s="258" t="s">
        <v>86</v>
      </c>
      <c r="AI502" s="258" t="s">
        <v>86</v>
      </c>
      <c r="AJ502" s="258"/>
      <c r="AK502" s="258">
        <v>78</v>
      </c>
      <c r="AL502" s="258" t="s">
        <v>1174</v>
      </c>
      <c r="AM502" s="258"/>
      <c r="AN502" s="258" t="s">
        <v>1175</v>
      </c>
      <c r="AR502" s="135">
        <f>COUNTIF(B:B,B502)</f>
        <v>1</v>
      </c>
      <c r="AS502" s="135" t="str">
        <f t="shared" si="201"/>
        <v>2020_04_06_b</v>
      </c>
      <c r="AT502" s="136"/>
      <c r="AU502" s="135" t="str">
        <f t="shared" si="202"/>
        <v>2020</v>
      </c>
      <c r="AV502" s="135" t="str">
        <f t="shared" si="203"/>
        <v>04</v>
      </c>
      <c r="AW502" s="135" t="str">
        <f t="shared" si="204"/>
        <v>06</v>
      </c>
      <c r="AX502" s="135">
        <f t="shared" si="205"/>
        <v>43927</v>
      </c>
      <c r="AY502" s="137"/>
      <c r="AZ502" s="138">
        <f t="shared" si="206"/>
        <v>43927</v>
      </c>
      <c r="BA502" s="135" t="b">
        <f t="shared" si="207"/>
        <v>1</v>
      </c>
      <c r="BB502" s="135">
        <f t="shared" si="208"/>
        <v>43927</v>
      </c>
      <c r="BC502" s="135" t="str">
        <f t="shared" si="209"/>
        <v>no</v>
      </c>
      <c r="BD502" s="135" t="b">
        <f t="shared" si="210"/>
        <v>0</v>
      </c>
      <c r="BE502" s="139" t="s">
        <v>59</v>
      </c>
      <c r="BF502" s="136"/>
    </row>
    <row r="503" spans="1:59" s="265" customFormat="1" ht="154">
      <c r="A503" s="128" t="s">
        <v>1178</v>
      </c>
      <c r="B503" s="128" t="s">
        <v>1179</v>
      </c>
      <c r="C503" s="258"/>
      <c r="D503" s="258">
        <v>10084119</v>
      </c>
      <c r="E503" s="258" t="s">
        <v>80</v>
      </c>
      <c r="F503" s="260" t="s">
        <v>1170</v>
      </c>
      <c r="G503" s="261">
        <v>43922</v>
      </c>
      <c r="H503" s="262">
        <v>43930</v>
      </c>
      <c r="I503" s="263">
        <v>43971</v>
      </c>
      <c r="J503" s="262">
        <v>43972</v>
      </c>
      <c r="K503" s="263">
        <v>44012</v>
      </c>
      <c r="L503" s="263">
        <v>44013</v>
      </c>
      <c r="M503" s="263">
        <v>44091</v>
      </c>
      <c r="N503" s="263">
        <v>44172</v>
      </c>
      <c r="O503" s="263">
        <v>44123</v>
      </c>
      <c r="P503" s="263">
        <v>44183</v>
      </c>
      <c r="Q503" s="258" t="s">
        <v>1171</v>
      </c>
      <c r="R503" s="258" t="s">
        <v>1180</v>
      </c>
      <c r="S503" s="258">
        <f t="shared" si="232"/>
        <v>43</v>
      </c>
      <c r="T503" s="258"/>
      <c r="U503" s="258">
        <v>43</v>
      </c>
      <c r="V503" s="472">
        <v>0</v>
      </c>
      <c r="W503" s="258" t="s">
        <v>1173</v>
      </c>
      <c r="X503" s="258"/>
      <c r="Y503" s="258"/>
      <c r="Z503" s="263" t="s">
        <v>52</v>
      </c>
      <c r="AA503" s="263" t="s">
        <v>53</v>
      </c>
      <c r="AB503" s="263" t="s">
        <v>52</v>
      </c>
      <c r="AC503" s="263" t="s">
        <v>52</v>
      </c>
      <c r="AD503" s="263" t="s">
        <v>52</v>
      </c>
      <c r="AE503" s="263" t="s">
        <v>54</v>
      </c>
      <c r="AF503" s="263" t="s">
        <v>54</v>
      </c>
      <c r="AG503" s="472" t="s">
        <v>85</v>
      </c>
      <c r="AH503" s="258" t="s">
        <v>86</v>
      </c>
      <c r="AI503" s="258" t="s">
        <v>86</v>
      </c>
      <c r="AJ503" s="258"/>
      <c r="AK503" s="258">
        <v>89</v>
      </c>
      <c r="AL503" s="258" t="s">
        <v>1174</v>
      </c>
      <c r="AM503" s="258"/>
      <c r="AN503" s="258" t="s">
        <v>1175</v>
      </c>
      <c r="AR503" s="135">
        <f>COUNTIF(B:B,B503)</f>
        <v>1</v>
      </c>
      <c r="AS503" s="135" t="str">
        <f t="shared" si="201"/>
        <v>2020_04_09_a</v>
      </c>
      <c r="AT503" s="136"/>
      <c r="AU503" s="135" t="str">
        <f t="shared" si="202"/>
        <v>2020</v>
      </c>
      <c r="AV503" s="135" t="str">
        <f t="shared" si="203"/>
        <v>04</v>
      </c>
      <c r="AW503" s="135" t="str">
        <f t="shared" si="204"/>
        <v>09</v>
      </c>
      <c r="AX503" s="135">
        <f t="shared" si="205"/>
        <v>43930</v>
      </c>
      <c r="AY503" s="137"/>
      <c r="AZ503" s="138">
        <f t="shared" si="206"/>
        <v>43930</v>
      </c>
      <c r="BA503" s="135" t="b">
        <f t="shared" si="207"/>
        <v>1</v>
      </c>
      <c r="BB503" s="135">
        <f t="shared" si="208"/>
        <v>43930</v>
      </c>
      <c r="BC503" s="135" t="str">
        <f t="shared" si="209"/>
        <v>no</v>
      </c>
      <c r="BD503" s="135" t="b">
        <f t="shared" si="210"/>
        <v>0</v>
      </c>
      <c r="BE503" s="139" t="s">
        <v>59</v>
      </c>
      <c r="BF503" s="136"/>
    </row>
    <row r="504" spans="1:59" s="265" customFormat="1" ht="154">
      <c r="A504" s="128" t="s">
        <v>1181</v>
      </c>
      <c r="B504" s="128" t="s">
        <v>1182</v>
      </c>
      <c r="C504" s="258"/>
      <c r="D504" s="258">
        <v>10082087</v>
      </c>
      <c r="E504" s="258" t="s">
        <v>80</v>
      </c>
      <c r="F504" s="260" t="s">
        <v>1170</v>
      </c>
      <c r="G504" s="261">
        <v>43922</v>
      </c>
      <c r="H504" s="262">
        <v>43930</v>
      </c>
      <c r="I504" s="263">
        <v>43971</v>
      </c>
      <c r="J504" s="262">
        <v>43972</v>
      </c>
      <c r="K504" s="263">
        <v>44012</v>
      </c>
      <c r="L504" s="263">
        <v>44013</v>
      </c>
      <c r="M504" s="263">
        <v>44091</v>
      </c>
      <c r="N504" s="263">
        <v>44172</v>
      </c>
      <c r="O504" s="263">
        <v>44123</v>
      </c>
      <c r="P504" s="263">
        <v>44183</v>
      </c>
      <c r="Q504" s="258" t="s">
        <v>1171</v>
      </c>
      <c r="R504" s="258" t="s">
        <v>1180</v>
      </c>
      <c r="S504" s="258">
        <f t="shared" si="232"/>
        <v>116</v>
      </c>
      <c r="T504" s="258"/>
      <c r="U504" s="258">
        <v>116</v>
      </c>
      <c r="V504" s="472">
        <v>0</v>
      </c>
      <c r="W504" s="258" t="s">
        <v>1173</v>
      </c>
      <c r="X504" s="258"/>
      <c r="Y504" s="258"/>
      <c r="Z504" s="263" t="s">
        <v>52</v>
      </c>
      <c r="AA504" s="263" t="s">
        <v>53</v>
      </c>
      <c r="AB504" s="263" t="s">
        <v>52</v>
      </c>
      <c r="AC504" s="263" t="s">
        <v>52</v>
      </c>
      <c r="AD504" s="263" t="s">
        <v>52</v>
      </c>
      <c r="AE504" s="263" t="s">
        <v>54</v>
      </c>
      <c r="AF504" s="263" t="s">
        <v>54</v>
      </c>
      <c r="AG504" s="472" t="s">
        <v>85</v>
      </c>
      <c r="AH504" s="258" t="s">
        <v>86</v>
      </c>
      <c r="AI504" s="258" t="s">
        <v>86</v>
      </c>
      <c r="AJ504" s="258"/>
      <c r="AK504" s="258">
        <v>43</v>
      </c>
      <c r="AL504" s="258" t="s">
        <v>1174</v>
      </c>
      <c r="AM504" s="258"/>
      <c r="AN504" s="258" t="s">
        <v>1175</v>
      </c>
      <c r="AR504" s="135">
        <f>COUNTIF(B:B,B504)</f>
        <v>1</v>
      </c>
      <c r="AS504" s="135" t="str">
        <f t="shared" si="201"/>
        <v>2020_04_09_b</v>
      </c>
      <c r="AT504" s="136"/>
      <c r="AU504" s="135" t="str">
        <f t="shared" si="202"/>
        <v>2020</v>
      </c>
      <c r="AV504" s="135" t="str">
        <f t="shared" si="203"/>
        <v>04</v>
      </c>
      <c r="AW504" s="135" t="str">
        <f t="shared" si="204"/>
        <v>09</v>
      </c>
      <c r="AX504" s="135">
        <f t="shared" si="205"/>
        <v>43930</v>
      </c>
      <c r="AY504" s="137"/>
      <c r="AZ504" s="138">
        <f t="shared" si="206"/>
        <v>43930</v>
      </c>
      <c r="BA504" s="135" t="b">
        <f t="shared" si="207"/>
        <v>1</v>
      </c>
      <c r="BB504" s="135">
        <f t="shared" si="208"/>
        <v>43930</v>
      </c>
      <c r="BC504" s="135" t="str">
        <f t="shared" si="209"/>
        <v>no</v>
      </c>
      <c r="BD504" s="135" t="b">
        <f t="shared" si="210"/>
        <v>0</v>
      </c>
      <c r="BE504" s="139" t="s">
        <v>59</v>
      </c>
      <c r="BF504" s="136"/>
    </row>
    <row r="505" spans="1:59" s="265" customFormat="1" ht="154">
      <c r="A505" s="128" t="s">
        <v>1183</v>
      </c>
      <c r="B505" s="128" t="s">
        <v>1184</v>
      </c>
      <c r="C505" s="258"/>
      <c r="D505" s="258">
        <v>10082307</v>
      </c>
      <c r="E505" s="258" t="s">
        <v>80</v>
      </c>
      <c r="F505" s="260" t="s">
        <v>1170</v>
      </c>
      <c r="G505" s="261">
        <v>43922</v>
      </c>
      <c r="H505" s="262">
        <v>43934</v>
      </c>
      <c r="I505" s="263">
        <v>43971</v>
      </c>
      <c r="J505" s="262">
        <v>43972</v>
      </c>
      <c r="K505" s="263">
        <v>44012</v>
      </c>
      <c r="L505" s="263">
        <v>44013</v>
      </c>
      <c r="M505" s="263">
        <v>44091</v>
      </c>
      <c r="N505" s="263">
        <v>44172</v>
      </c>
      <c r="O505" s="263">
        <v>44123</v>
      </c>
      <c r="P505" s="263">
        <v>44183</v>
      </c>
      <c r="Q505" s="258" t="s">
        <v>1171</v>
      </c>
      <c r="R505" s="258" t="s">
        <v>1180</v>
      </c>
      <c r="S505" s="271">
        <f t="shared" si="232"/>
        <v>338</v>
      </c>
      <c r="T505" s="271"/>
      <c r="U505" s="271">
        <v>338</v>
      </c>
      <c r="V505" s="472">
        <v>0</v>
      </c>
      <c r="W505" s="258" t="s">
        <v>1173</v>
      </c>
      <c r="X505" s="258"/>
      <c r="Y505" s="258"/>
      <c r="Z505" s="263" t="s">
        <v>52</v>
      </c>
      <c r="AA505" s="263" t="s">
        <v>53</v>
      </c>
      <c r="AB505" s="263" t="s">
        <v>52</v>
      </c>
      <c r="AC505" s="263" t="s">
        <v>52</v>
      </c>
      <c r="AD505" s="263" t="s">
        <v>52</v>
      </c>
      <c r="AE505" s="263" t="s">
        <v>54</v>
      </c>
      <c r="AF505" s="263" t="s">
        <v>54</v>
      </c>
      <c r="AG505" s="472" t="s">
        <v>85</v>
      </c>
      <c r="AH505" s="258" t="s">
        <v>86</v>
      </c>
      <c r="AI505" s="258" t="s">
        <v>86</v>
      </c>
      <c r="AJ505" s="258"/>
      <c r="AK505" s="258">
        <v>63</v>
      </c>
      <c r="AL505" s="258" t="s">
        <v>1174</v>
      </c>
      <c r="AM505" s="258"/>
      <c r="AN505" s="258" t="s">
        <v>1175</v>
      </c>
      <c r="AR505" s="135">
        <f>COUNTIF(B:B,B505)</f>
        <v>1</v>
      </c>
      <c r="AS505" s="135" t="str">
        <f t="shared" si="201"/>
        <v>2020_04_13_a</v>
      </c>
      <c r="AT505" s="136"/>
      <c r="AU505" s="135" t="str">
        <f t="shared" si="202"/>
        <v>2020</v>
      </c>
      <c r="AV505" s="135" t="str">
        <f t="shared" si="203"/>
        <v>04</v>
      </c>
      <c r="AW505" s="135" t="str">
        <f t="shared" si="204"/>
        <v>13</v>
      </c>
      <c r="AX505" s="135">
        <f t="shared" si="205"/>
        <v>43934</v>
      </c>
      <c r="AY505" s="137"/>
      <c r="AZ505" s="138">
        <f t="shared" si="206"/>
        <v>43934</v>
      </c>
      <c r="BA505" s="135" t="b">
        <f t="shared" si="207"/>
        <v>1</v>
      </c>
      <c r="BB505" s="135">
        <f t="shared" si="208"/>
        <v>43934</v>
      </c>
      <c r="BC505" s="135" t="str">
        <f t="shared" si="209"/>
        <v>no</v>
      </c>
      <c r="BD505" s="135" t="b">
        <f t="shared" si="210"/>
        <v>0</v>
      </c>
      <c r="BE505" s="139" t="s">
        <v>59</v>
      </c>
      <c r="BF505" s="136"/>
    </row>
    <row r="506" spans="1:59" s="170" customFormat="1" ht="290">
      <c r="A506" s="485" t="s">
        <v>1185</v>
      </c>
      <c r="B506" s="485" t="s">
        <v>1186</v>
      </c>
      <c r="C506" s="485"/>
      <c r="D506" s="485">
        <v>10093359</v>
      </c>
      <c r="E506" s="485"/>
      <c r="F506" s="162" t="s">
        <v>1170</v>
      </c>
      <c r="G506" s="178">
        <v>44105</v>
      </c>
      <c r="H506" s="96">
        <v>44109</v>
      </c>
      <c r="I506" s="163">
        <v>44151</v>
      </c>
      <c r="J506" s="96">
        <v>44152</v>
      </c>
      <c r="K506" s="163">
        <v>44190</v>
      </c>
      <c r="L506" s="163">
        <v>44208</v>
      </c>
      <c r="M506" s="163" t="s">
        <v>48</v>
      </c>
      <c r="N506" s="163" t="s">
        <v>48</v>
      </c>
      <c r="O506" s="163" t="s">
        <v>48</v>
      </c>
      <c r="P506" s="163" t="s">
        <v>48</v>
      </c>
      <c r="Q506" s="472" t="s">
        <v>1187</v>
      </c>
      <c r="R506" s="472" t="s">
        <v>1188</v>
      </c>
      <c r="S506" s="472">
        <f t="shared" si="232"/>
        <v>20</v>
      </c>
      <c r="T506" s="472">
        <v>27</v>
      </c>
      <c r="U506" s="81">
        <v>20</v>
      </c>
      <c r="V506" s="472">
        <v>0</v>
      </c>
      <c r="W506" s="472" t="s">
        <v>1189</v>
      </c>
      <c r="X506" s="192"/>
      <c r="Y506" s="192"/>
      <c r="Z506" s="472" t="s">
        <v>52</v>
      </c>
      <c r="AA506" s="472" t="s">
        <v>53</v>
      </c>
      <c r="AB506" s="472" t="s">
        <v>52</v>
      </c>
      <c r="AC506" s="472" t="s">
        <v>48</v>
      </c>
      <c r="AD506" s="176" t="s">
        <v>54</v>
      </c>
      <c r="AE506" s="472" t="s">
        <v>54</v>
      </c>
      <c r="AF506" s="472" t="s">
        <v>54</v>
      </c>
      <c r="AG506" s="472" t="s">
        <v>85</v>
      </c>
      <c r="AH506" s="485" t="s">
        <v>86</v>
      </c>
      <c r="AI506" s="485" t="s">
        <v>48</v>
      </c>
      <c r="AJ506" s="485"/>
      <c r="AK506" s="485"/>
      <c r="AL506" s="485" t="s">
        <v>1190</v>
      </c>
      <c r="AM506" s="485"/>
      <c r="AN506" s="485" t="s">
        <v>1191</v>
      </c>
      <c r="AR506" s="135">
        <f>COUNTIF(B:B,B506)</f>
        <v>1</v>
      </c>
      <c r="AS506" s="135" t="str">
        <f t="shared" si="201"/>
        <v>2020_10_05_a</v>
      </c>
      <c r="AT506" s="136"/>
      <c r="AU506" s="135" t="str">
        <f t="shared" si="202"/>
        <v>2020</v>
      </c>
      <c r="AV506" s="135" t="str">
        <f t="shared" si="203"/>
        <v>10</v>
      </c>
      <c r="AW506" s="135" t="str">
        <f t="shared" si="204"/>
        <v>05</v>
      </c>
      <c r="AX506" s="135">
        <f t="shared" si="205"/>
        <v>44109</v>
      </c>
      <c r="AY506" s="137"/>
      <c r="AZ506" s="138">
        <f t="shared" si="206"/>
        <v>44109</v>
      </c>
      <c r="BA506" s="135" t="b">
        <f t="shared" si="207"/>
        <v>1</v>
      </c>
      <c r="BB506" s="135">
        <f t="shared" si="208"/>
        <v>44109</v>
      </c>
      <c r="BC506" s="135" t="str">
        <f t="shared" si="209"/>
        <v>no</v>
      </c>
      <c r="BD506" s="135" t="b">
        <f t="shared" si="210"/>
        <v>0</v>
      </c>
      <c r="BE506" s="139" t="s">
        <v>59</v>
      </c>
      <c r="BF506" s="136"/>
    </row>
    <row r="507" spans="1:59" s="170" customFormat="1" ht="154">
      <c r="A507" s="485"/>
      <c r="B507" s="485" t="s">
        <v>1192</v>
      </c>
      <c r="C507" s="485"/>
      <c r="D507" s="485">
        <v>10101622</v>
      </c>
      <c r="E507" s="485"/>
      <c r="F507" s="162" t="s">
        <v>1170</v>
      </c>
      <c r="G507" s="178">
        <v>44287</v>
      </c>
      <c r="H507" s="96">
        <v>44298</v>
      </c>
      <c r="I507" s="163">
        <v>44342</v>
      </c>
      <c r="J507" s="96">
        <v>44347</v>
      </c>
      <c r="K507" s="163">
        <v>44414</v>
      </c>
      <c r="L507" s="163">
        <v>44368</v>
      </c>
      <c r="M507" s="163" t="s">
        <v>48</v>
      </c>
      <c r="N507" s="163" t="s">
        <v>48</v>
      </c>
      <c r="O507" s="163" t="s">
        <v>48</v>
      </c>
      <c r="P507" s="163" t="s">
        <v>48</v>
      </c>
      <c r="Q507" s="272" t="s">
        <v>1193</v>
      </c>
      <c r="R507" s="472" t="s">
        <v>1188</v>
      </c>
      <c r="S507" s="472">
        <f t="shared" si="232"/>
        <v>348</v>
      </c>
      <c r="T507" s="472"/>
      <c r="U507" s="81">
        <v>348</v>
      </c>
      <c r="V507" s="472">
        <v>0</v>
      </c>
      <c r="W507" s="472" t="s">
        <v>1189</v>
      </c>
      <c r="X507" s="192"/>
      <c r="Y507" s="192"/>
      <c r="Z507" s="472"/>
      <c r="AA507" s="472"/>
      <c r="AB507" s="472"/>
      <c r="AC507" s="472"/>
      <c r="AD507" s="176"/>
      <c r="AE507" s="472"/>
      <c r="AF507" s="472"/>
      <c r="AG507" s="472" t="s">
        <v>85</v>
      </c>
      <c r="AH507" s="485"/>
      <c r="AI507" s="485"/>
      <c r="AJ507" s="485"/>
      <c r="AK507" s="485"/>
      <c r="AL507" s="485"/>
      <c r="AM507" s="485"/>
      <c r="AN507" s="485"/>
      <c r="AR507" s="135">
        <f>COUNTIF(B:B,B507)</f>
        <v>1</v>
      </c>
      <c r="AS507" s="135" t="str">
        <f t="shared" si="201"/>
        <v>2021_04_12_a</v>
      </c>
      <c r="AT507" s="136"/>
      <c r="AU507" s="135" t="str">
        <f t="shared" si="202"/>
        <v>2021</v>
      </c>
      <c r="AV507" s="135" t="str">
        <f t="shared" si="203"/>
        <v>04</v>
      </c>
      <c r="AW507" s="135" t="str">
        <f t="shared" si="204"/>
        <v>12</v>
      </c>
      <c r="AX507" s="135">
        <f t="shared" si="205"/>
        <v>44298</v>
      </c>
      <c r="AY507" s="137"/>
      <c r="AZ507" s="138">
        <f t="shared" si="206"/>
        <v>44298</v>
      </c>
      <c r="BA507" s="135" t="b">
        <f t="shared" si="207"/>
        <v>1</v>
      </c>
      <c r="BB507" s="135">
        <f t="shared" si="208"/>
        <v>44298</v>
      </c>
      <c r="BC507" s="135" t="str">
        <f t="shared" si="209"/>
        <v>no</v>
      </c>
      <c r="BD507" s="135" t="b">
        <f t="shared" si="210"/>
        <v>0</v>
      </c>
      <c r="BE507" s="139" t="s">
        <v>59</v>
      </c>
      <c r="BF507" s="136"/>
    </row>
    <row r="508" spans="1:59" s="170" customFormat="1" ht="154">
      <c r="A508" s="485"/>
      <c r="B508" s="485" t="s">
        <v>1194</v>
      </c>
      <c r="C508" s="485"/>
      <c r="D508" s="485">
        <v>10228547</v>
      </c>
      <c r="E508" s="485"/>
      <c r="F508" s="162" t="s">
        <v>1170</v>
      </c>
      <c r="G508" s="178">
        <v>44470</v>
      </c>
      <c r="H508" s="96">
        <v>44480</v>
      </c>
      <c r="I508" s="163">
        <v>44519</v>
      </c>
      <c r="J508" s="96">
        <v>44522</v>
      </c>
      <c r="K508" s="163">
        <v>44519</v>
      </c>
      <c r="L508" s="163">
        <v>44578</v>
      </c>
      <c r="M508" s="163" t="s">
        <v>48</v>
      </c>
      <c r="N508" s="163" t="s">
        <v>48</v>
      </c>
      <c r="O508" s="163" t="s">
        <v>48</v>
      </c>
      <c r="P508" s="163" t="s">
        <v>48</v>
      </c>
      <c r="Q508" s="472" t="s">
        <v>1187</v>
      </c>
      <c r="R508" s="472" t="s">
        <v>1188</v>
      </c>
      <c r="S508" s="472">
        <f t="shared" si="232"/>
        <v>24</v>
      </c>
      <c r="T508" s="472"/>
      <c r="U508" s="81">
        <v>24</v>
      </c>
      <c r="V508" s="472">
        <v>0</v>
      </c>
      <c r="W508" s="472" t="s">
        <v>1195</v>
      </c>
      <c r="X508" s="192"/>
      <c r="Y508" s="192"/>
      <c r="Z508" s="472"/>
      <c r="AA508" s="472"/>
      <c r="AB508" s="472"/>
      <c r="AC508" s="472"/>
      <c r="AD508" s="176"/>
      <c r="AE508" s="472"/>
      <c r="AF508" s="472"/>
      <c r="AG508" s="472" t="s">
        <v>85</v>
      </c>
      <c r="AH508" s="485"/>
      <c r="AI508" s="485"/>
      <c r="AJ508" s="485"/>
      <c r="AK508" s="485"/>
      <c r="AL508" s="485"/>
      <c r="AM508" s="485"/>
      <c r="AN508" s="485"/>
      <c r="AR508" s="135">
        <f>COUNTIF(B:B,B508)</f>
        <v>1</v>
      </c>
      <c r="AS508" s="135" t="str">
        <f t="shared" si="201"/>
        <v>2021_10_11_a</v>
      </c>
      <c r="AT508" s="136"/>
      <c r="AU508" s="135" t="str">
        <f t="shared" si="202"/>
        <v>2021</v>
      </c>
      <c r="AV508" s="135" t="str">
        <f t="shared" si="203"/>
        <v>10</v>
      </c>
      <c r="AW508" s="135" t="str">
        <f t="shared" si="204"/>
        <v>11</v>
      </c>
      <c r="AX508" s="135">
        <f t="shared" si="205"/>
        <v>44480</v>
      </c>
      <c r="AY508" s="137"/>
      <c r="AZ508" s="138">
        <f t="shared" si="206"/>
        <v>44480</v>
      </c>
      <c r="BA508" s="135" t="b">
        <f t="shared" si="207"/>
        <v>1</v>
      </c>
      <c r="BB508" s="135">
        <f t="shared" si="208"/>
        <v>44480</v>
      </c>
      <c r="BC508" s="135" t="str">
        <f t="shared" si="209"/>
        <v>no</v>
      </c>
      <c r="BD508" s="135" t="b">
        <f t="shared" si="210"/>
        <v>0</v>
      </c>
      <c r="BE508" s="139" t="s">
        <v>59</v>
      </c>
      <c r="BF508" s="136"/>
    </row>
    <row r="509" spans="1:59" s="170" customFormat="1" ht="154">
      <c r="A509" s="485"/>
      <c r="B509" s="485" t="s">
        <v>1196</v>
      </c>
      <c r="C509" s="485"/>
      <c r="D509" s="485">
        <v>10268486</v>
      </c>
      <c r="E509" s="485"/>
      <c r="F509" s="162" t="s">
        <v>1170</v>
      </c>
      <c r="G509" s="178">
        <v>44652</v>
      </c>
      <c r="H509" s="96">
        <v>44658</v>
      </c>
      <c r="I509" s="163">
        <v>44707</v>
      </c>
      <c r="J509" s="96">
        <v>44711</v>
      </c>
      <c r="K509" s="163">
        <v>44757</v>
      </c>
      <c r="L509" s="163"/>
      <c r="M509" s="163" t="s">
        <v>48</v>
      </c>
      <c r="N509" s="163" t="s">
        <v>48</v>
      </c>
      <c r="O509" s="163" t="s">
        <v>48</v>
      </c>
      <c r="P509" s="163" t="s">
        <v>48</v>
      </c>
      <c r="Q509" s="472" t="s">
        <v>1171</v>
      </c>
      <c r="R509" s="472" t="s">
        <v>1188</v>
      </c>
      <c r="S509" s="472">
        <f t="shared" si="232"/>
        <v>423</v>
      </c>
      <c r="T509" s="472"/>
      <c r="U509" s="81">
        <v>423</v>
      </c>
      <c r="V509" s="472">
        <v>0</v>
      </c>
      <c r="W509" s="472" t="s">
        <v>1197</v>
      </c>
      <c r="X509" s="192"/>
      <c r="Y509" s="192"/>
      <c r="Z509" s="472"/>
      <c r="AA509" s="472"/>
      <c r="AB509" s="472"/>
      <c r="AC509" s="472"/>
      <c r="AD509" s="176"/>
      <c r="AE509" s="472"/>
      <c r="AF509" s="472"/>
      <c r="AG509" s="472" t="s">
        <v>85</v>
      </c>
      <c r="AH509" s="485"/>
      <c r="AI509" s="485"/>
      <c r="AJ509" s="485"/>
      <c r="AK509" s="485"/>
      <c r="AL509" s="485"/>
      <c r="AM509" s="485"/>
      <c r="AN509" s="485"/>
      <c r="AR509" s="135">
        <f>COUNTIF(B:B,B509)</f>
        <v>1</v>
      </c>
      <c r="AS509" s="135" t="str">
        <f t="shared" si="201"/>
        <v>2022_04_07_a</v>
      </c>
      <c r="AT509" s="136"/>
      <c r="AU509" s="135" t="str">
        <f t="shared" si="202"/>
        <v>2022</v>
      </c>
      <c r="AV509" s="135" t="str">
        <f t="shared" si="203"/>
        <v>04</v>
      </c>
      <c r="AW509" s="135" t="str">
        <f t="shared" si="204"/>
        <v>07</v>
      </c>
      <c r="AX509" s="135">
        <f t="shared" si="205"/>
        <v>44658</v>
      </c>
      <c r="AY509" s="137"/>
      <c r="AZ509" s="138">
        <f t="shared" si="206"/>
        <v>44658</v>
      </c>
      <c r="BA509" s="135" t="b">
        <f t="shared" si="207"/>
        <v>1</v>
      </c>
      <c r="BB509" s="135">
        <f t="shared" si="208"/>
        <v>44658</v>
      </c>
      <c r="BC509" s="135" t="str">
        <f t="shared" si="209"/>
        <v>no</v>
      </c>
      <c r="BD509" s="135" t="b">
        <f t="shared" si="210"/>
        <v>0</v>
      </c>
      <c r="BE509" s="139" t="s">
        <v>59</v>
      </c>
      <c r="BF509" s="136"/>
    </row>
    <row r="510" spans="1:59" s="170" customFormat="1" ht="154">
      <c r="A510" s="485"/>
      <c r="B510" s="485" t="s">
        <v>1198</v>
      </c>
      <c r="C510" s="485"/>
      <c r="D510" s="485">
        <v>10310616</v>
      </c>
      <c r="E510" s="485"/>
      <c r="F510" s="162" t="s">
        <v>1170</v>
      </c>
      <c r="G510" s="178">
        <v>44835</v>
      </c>
      <c r="H510" s="96">
        <v>44845</v>
      </c>
      <c r="I510" s="163"/>
      <c r="J510" s="96"/>
      <c r="K510" s="163"/>
      <c r="L510" s="163"/>
      <c r="M510" s="163" t="s">
        <v>48</v>
      </c>
      <c r="N510" s="163" t="s">
        <v>48</v>
      </c>
      <c r="O510" s="163" t="s">
        <v>48</v>
      </c>
      <c r="P510" s="163" t="s">
        <v>48</v>
      </c>
      <c r="Q510" s="472" t="s">
        <v>1187</v>
      </c>
      <c r="R510" s="472" t="s">
        <v>1188</v>
      </c>
      <c r="S510" s="472">
        <f t="shared" si="232"/>
        <v>28</v>
      </c>
      <c r="T510" s="472"/>
      <c r="U510" s="81">
        <v>28</v>
      </c>
      <c r="V510" s="472">
        <v>0</v>
      </c>
      <c r="W510" s="472" t="s">
        <v>1199</v>
      </c>
      <c r="X510" s="192"/>
      <c r="Y510" s="192"/>
      <c r="Z510" s="472"/>
      <c r="AA510" s="472"/>
      <c r="AB510" s="472"/>
      <c r="AC510" s="472"/>
      <c r="AD510" s="176"/>
      <c r="AE510" s="472"/>
      <c r="AF510" s="472"/>
      <c r="AG510" s="472" t="s">
        <v>85</v>
      </c>
      <c r="AH510" s="485"/>
      <c r="AI510" s="485"/>
      <c r="AJ510" s="485"/>
      <c r="AK510" s="485"/>
      <c r="AL510" s="485"/>
      <c r="AM510" s="485"/>
      <c r="AN510" s="485"/>
      <c r="AR510" s="135">
        <f>COUNTIF(B:B,B510)</f>
        <v>1</v>
      </c>
      <c r="AS510" s="135" t="str">
        <f t="shared" si="201"/>
        <v>2022_10_11_a</v>
      </c>
      <c r="AT510" s="136"/>
      <c r="AU510" s="135" t="str">
        <f t="shared" si="202"/>
        <v>2022</v>
      </c>
      <c r="AV510" s="135" t="str">
        <f t="shared" si="203"/>
        <v>10</v>
      </c>
      <c r="AW510" s="135" t="str">
        <f t="shared" si="204"/>
        <v>11</v>
      </c>
      <c r="AX510" s="135">
        <f t="shared" si="205"/>
        <v>44845</v>
      </c>
      <c r="AY510" s="137"/>
      <c r="AZ510" s="138">
        <f t="shared" si="206"/>
        <v>44845</v>
      </c>
      <c r="BA510" s="135" t="b">
        <f t="shared" si="207"/>
        <v>1</v>
      </c>
      <c r="BB510" s="135">
        <f t="shared" si="208"/>
        <v>44845</v>
      </c>
      <c r="BC510" s="135" t="str">
        <f t="shared" si="209"/>
        <v>no</v>
      </c>
      <c r="BD510" s="135" t="b">
        <f t="shared" si="210"/>
        <v>0</v>
      </c>
      <c r="BE510" s="139" t="s">
        <v>59</v>
      </c>
      <c r="BF510" s="136"/>
    </row>
    <row r="511" spans="1:59" s="170" customFormat="1" ht="154">
      <c r="A511" s="485"/>
      <c r="C511" s="485"/>
      <c r="D511" s="485"/>
      <c r="E511" s="485"/>
      <c r="F511" s="499" t="s">
        <v>362</v>
      </c>
      <c r="G511" s="500"/>
      <c r="H511" s="500"/>
      <c r="I511" s="500"/>
      <c r="J511" s="500"/>
      <c r="K511" s="500"/>
      <c r="L511" s="500"/>
      <c r="M511" s="500"/>
      <c r="N511" s="500"/>
      <c r="O511" s="500"/>
      <c r="P511" s="500"/>
      <c r="Q511" s="500"/>
      <c r="R511" s="501"/>
      <c r="S511" s="472">
        <f>SUMIFS(S501:S506, AA501:AA506, "=Complete")</f>
        <v>0</v>
      </c>
      <c r="T511" s="472"/>
      <c r="U511" s="23">
        <f>SUMIFS(U501:U506, Z501:Z506, "=Complete")</f>
        <v>540</v>
      </c>
      <c r="V511" s="472">
        <f>SUMIFS(V501:V506, AA501:AA506, "=Complete")</f>
        <v>0</v>
      </c>
      <c r="W511" s="472"/>
      <c r="X511" s="192"/>
      <c r="Y511" s="192"/>
      <c r="Z511" s="472"/>
      <c r="AA511" s="472">
        <f>COUNTIFS(AA501:AA506, "=Complete")</f>
        <v>0</v>
      </c>
      <c r="AB511" s="472"/>
      <c r="AC511" s="472"/>
      <c r="AD511" s="176"/>
      <c r="AE511" s="472"/>
      <c r="AF511" s="472"/>
      <c r="AG511" s="472">
        <f>COUNTIFS(AG501:AG506, "=Legacy")</f>
        <v>0</v>
      </c>
      <c r="AH511" s="472">
        <f>COUNTIFS(AH501:AH506, "=Virtual")</f>
        <v>6</v>
      </c>
      <c r="AI511" s="485"/>
      <c r="AJ511" s="485"/>
      <c r="AK511" s="485"/>
      <c r="AL511" s="485"/>
      <c r="AM511" s="485"/>
      <c r="AN511" s="485"/>
      <c r="AR511" s="135">
        <f>COUNTIF(B:B,B511)</f>
        <v>0</v>
      </c>
      <c r="AS511" s="135">
        <f t="shared" si="201"/>
        <v>0</v>
      </c>
      <c r="AT511" s="136"/>
      <c r="AU511" s="135" t="str">
        <f t="shared" si="202"/>
        <v>0</v>
      </c>
      <c r="AV511" s="135" t="str">
        <f t="shared" si="203"/>
        <v/>
      </c>
      <c r="AW511" s="135" t="str">
        <f t="shared" si="204"/>
        <v/>
      </c>
      <c r="AX511" s="135" t="str">
        <f t="shared" si="205"/>
        <v xml:space="preserve"> </v>
      </c>
      <c r="AY511" s="137"/>
      <c r="AZ511" s="138">
        <f t="shared" si="206"/>
        <v>0</v>
      </c>
      <c r="BA511" s="135" t="str">
        <f t="shared" si="207"/>
        <v xml:space="preserve"> </v>
      </c>
      <c r="BB511" s="135">
        <f t="shared" si="208"/>
        <v>0</v>
      </c>
      <c r="BC511" s="135" t="str">
        <f t="shared" si="209"/>
        <v>no</v>
      </c>
      <c r="BD511" s="135" t="b">
        <f t="shared" si="210"/>
        <v>0</v>
      </c>
      <c r="BE511" s="139" t="s">
        <v>59</v>
      </c>
      <c r="BF511" s="136"/>
    </row>
    <row r="512" spans="1:59" s="126" customFormat="1" ht="154">
      <c r="A512" s="472"/>
      <c r="B512" s="485"/>
      <c r="C512" s="472"/>
      <c r="D512" s="472"/>
      <c r="E512" s="472"/>
      <c r="F512" s="492" t="s">
        <v>363</v>
      </c>
      <c r="G512" s="492"/>
      <c r="H512" s="492"/>
      <c r="I512" s="492"/>
      <c r="J512" s="492"/>
      <c r="K512" s="492"/>
      <c r="L512" s="492"/>
      <c r="M512" s="492"/>
      <c r="N512" s="492"/>
      <c r="O512" s="492"/>
      <c r="P512" s="492"/>
      <c r="Q512" s="492"/>
      <c r="R512" s="492"/>
      <c r="S512" s="472">
        <f>SUMIFS(S501:S506, AA501:AA506, "=In Progress")</f>
        <v>540</v>
      </c>
      <c r="T512" s="472"/>
      <c r="U512" s="23">
        <f>SUMIFS(U501:U506, Z501:Z506, "=In Progress")</f>
        <v>0</v>
      </c>
      <c r="V512" s="472">
        <f>SUMIFS(V501:V506, AA501:AA506, "=In Progress")</f>
        <v>0</v>
      </c>
      <c r="W512" s="472"/>
      <c r="X512" s="192"/>
      <c r="Y512" s="192"/>
      <c r="Z512" s="472"/>
      <c r="AA512" s="472">
        <f>COUNTIFS(AA501:AA506, "=In Progress")</f>
        <v>6</v>
      </c>
      <c r="AB512" s="472"/>
      <c r="AC512" s="472"/>
      <c r="AD512" s="176"/>
      <c r="AE512" s="472"/>
      <c r="AF512" s="472"/>
      <c r="AG512" s="472"/>
      <c r="AH512" s="472"/>
      <c r="AI512" s="472"/>
      <c r="AJ512" s="472"/>
      <c r="AK512" s="472"/>
      <c r="AL512" s="472"/>
      <c r="AM512" s="472"/>
      <c r="AN512" s="472"/>
      <c r="AO512" s="472"/>
      <c r="AP512" s="472"/>
      <c r="AQ512" s="472"/>
      <c r="AR512" s="135">
        <f>COUNTIF(B:B,B512)</f>
        <v>0</v>
      </c>
      <c r="AS512" s="135">
        <f t="shared" si="201"/>
        <v>0</v>
      </c>
      <c r="AT512" s="136"/>
      <c r="AU512" s="135" t="str">
        <f t="shared" si="202"/>
        <v>0</v>
      </c>
      <c r="AV512" s="135" t="str">
        <f t="shared" si="203"/>
        <v/>
      </c>
      <c r="AW512" s="135" t="str">
        <f t="shared" si="204"/>
        <v/>
      </c>
      <c r="AX512" s="135" t="str">
        <f t="shared" si="205"/>
        <v xml:space="preserve"> </v>
      </c>
      <c r="AY512" s="137"/>
      <c r="AZ512" s="138">
        <f t="shared" si="206"/>
        <v>0</v>
      </c>
      <c r="BA512" s="135" t="str">
        <f t="shared" si="207"/>
        <v xml:space="preserve"> </v>
      </c>
      <c r="BB512" s="135">
        <f t="shared" si="208"/>
        <v>0</v>
      </c>
      <c r="BC512" s="135" t="str">
        <f t="shared" si="209"/>
        <v>no</v>
      </c>
      <c r="BD512" s="135" t="b">
        <f t="shared" si="210"/>
        <v>1</v>
      </c>
      <c r="BE512" s="139" t="s">
        <v>59</v>
      </c>
      <c r="BF512" s="136"/>
      <c r="BG512" s="472"/>
    </row>
    <row r="513" spans="1:59" s="170" customFormat="1" ht="154">
      <c r="A513" s="485"/>
      <c r="B513" s="472"/>
      <c r="C513" s="485"/>
      <c r="D513" s="485"/>
      <c r="E513" s="485"/>
      <c r="F513" s="498" t="s">
        <v>223</v>
      </c>
      <c r="G513" s="493"/>
      <c r="H513" s="493"/>
      <c r="I513" s="493"/>
      <c r="J513" s="493"/>
      <c r="K513" s="493"/>
      <c r="L513" s="493"/>
      <c r="M513" s="493"/>
      <c r="N513" s="493"/>
      <c r="O513" s="493"/>
      <c r="P513" s="493"/>
      <c r="Q513" s="493"/>
      <c r="R513" s="493"/>
      <c r="S513" s="472">
        <f>SUMIFS(S501:S506, AA501:AA506, "=Planned")</f>
        <v>0</v>
      </c>
      <c r="T513" s="472"/>
      <c r="U513" s="23">
        <f>SUMIFS(U501:U506, Z501:Z506, "=Planned")</f>
        <v>0</v>
      </c>
      <c r="V513" s="472">
        <f>SUMIFS(V501:V506, AA501:AA506, "=Planned")</f>
        <v>0</v>
      </c>
      <c r="W513" s="472"/>
      <c r="X513" s="192"/>
      <c r="Y513" s="192"/>
      <c r="Z513" s="472"/>
      <c r="AA513" s="472">
        <f>COUNTIFS(AA501:AA506, "=Planned")</f>
        <v>0</v>
      </c>
      <c r="AB513" s="472"/>
      <c r="AC513" s="472"/>
      <c r="AD513" s="176"/>
      <c r="AE513" s="472"/>
      <c r="AF513" s="472"/>
      <c r="AG513" s="472">
        <f>COUNTIFS(AG501:AG506, "=New")</f>
        <v>0</v>
      </c>
      <c r="AH513" s="472">
        <f>COUNTIFS(AH501:AH506, "=F2F")</f>
        <v>0</v>
      </c>
      <c r="AI513" s="485"/>
      <c r="AJ513" s="485"/>
      <c r="AK513" s="485"/>
      <c r="AL513" s="485"/>
      <c r="AM513" s="485"/>
      <c r="AN513" s="485"/>
      <c r="AR513" s="135">
        <f>COUNTIF(B:B,B513)</f>
        <v>0</v>
      </c>
      <c r="AS513" s="135">
        <f t="shared" si="201"/>
        <v>0</v>
      </c>
      <c r="AT513" s="136"/>
      <c r="AU513" s="135" t="str">
        <f t="shared" si="202"/>
        <v>0</v>
      </c>
      <c r="AV513" s="135" t="str">
        <f t="shared" si="203"/>
        <v/>
      </c>
      <c r="AW513" s="135" t="str">
        <f t="shared" si="204"/>
        <v/>
      </c>
      <c r="AX513" s="135" t="str">
        <f t="shared" si="205"/>
        <v xml:space="preserve"> </v>
      </c>
      <c r="AY513" s="137"/>
      <c r="AZ513" s="138">
        <f t="shared" si="206"/>
        <v>0</v>
      </c>
      <c r="BA513" s="135" t="str">
        <f t="shared" si="207"/>
        <v xml:space="preserve"> </v>
      </c>
      <c r="BB513" s="135">
        <f t="shared" si="208"/>
        <v>0</v>
      </c>
      <c r="BC513" s="135" t="str">
        <f t="shared" si="209"/>
        <v>no</v>
      </c>
      <c r="BD513" s="135" t="b">
        <f t="shared" si="210"/>
        <v>1</v>
      </c>
      <c r="BE513" s="139" t="s">
        <v>59</v>
      </c>
      <c r="BF513" s="136"/>
    </row>
    <row r="514" spans="1:59" s="126" customFormat="1" ht="154">
      <c r="A514" s="472"/>
      <c r="B514" s="485"/>
      <c r="C514" s="472"/>
      <c r="D514" s="472"/>
      <c r="E514" s="472"/>
      <c r="F514" s="492" t="s">
        <v>224</v>
      </c>
      <c r="G514" s="492"/>
      <c r="H514" s="492"/>
      <c r="I514" s="492"/>
      <c r="J514" s="492"/>
      <c r="K514" s="492"/>
      <c r="L514" s="492"/>
      <c r="M514" s="492"/>
      <c r="N514" s="492"/>
      <c r="O514" s="492"/>
      <c r="P514" s="492"/>
      <c r="Q514" s="492"/>
      <c r="R514" s="492"/>
      <c r="S514" s="472">
        <f>SUMIFS(S501:S506, AA501:AA506, "=Tentative")</f>
        <v>0</v>
      </c>
      <c r="T514" s="472"/>
      <c r="U514" s="23">
        <f>SUMIFS(U501:U506, Z501:Z506, "=Tentative")</f>
        <v>0</v>
      </c>
      <c r="V514" s="472">
        <f>SUMIFS(V501:V506, AA501:AA506, "=Tentative")</f>
        <v>0</v>
      </c>
      <c r="W514" s="472"/>
      <c r="X514" s="192"/>
      <c r="Y514" s="192"/>
      <c r="Z514" s="472"/>
      <c r="AA514" s="472">
        <f>COUNTIFS(AA501:AA506, "=Tentative")</f>
        <v>0</v>
      </c>
      <c r="AB514" s="472"/>
      <c r="AC514" s="472"/>
      <c r="AD514" s="176"/>
      <c r="AE514" s="472"/>
      <c r="AF514" s="472"/>
      <c r="AG514" s="472"/>
      <c r="AH514" s="472"/>
      <c r="AI514" s="472"/>
      <c r="AJ514" s="472"/>
      <c r="AK514" s="472"/>
      <c r="AL514" s="472"/>
      <c r="AM514" s="472"/>
      <c r="AN514" s="472"/>
      <c r="AO514" s="472"/>
      <c r="AP514" s="472"/>
      <c r="AQ514" s="472"/>
      <c r="AR514" s="135">
        <f>COUNTIF(B:B,B514)</f>
        <v>0</v>
      </c>
      <c r="AS514" s="135">
        <f t="shared" si="201"/>
        <v>0</v>
      </c>
      <c r="AT514" s="136"/>
      <c r="AU514" s="135" t="str">
        <f t="shared" si="202"/>
        <v>0</v>
      </c>
      <c r="AV514" s="135" t="str">
        <f t="shared" si="203"/>
        <v/>
      </c>
      <c r="AW514" s="135" t="str">
        <f t="shared" si="204"/>
        <v/>
      </c>
      <c r="AX514" s="135" t="str">
        <f t="shared" si="205"/>
        <v xml:space="preserve"> </v>
      </c>
      <c r="AY514" s="137"/>
      <c r="AZ514" s="138">
        <f t="shared" si="206"/>
        <v>0</v>
      </c>
      <c r="BA514" s="135" t="str">
        <f t="shared" si="207"/>
        <v xml:space="preserve"> </v>
      </c>
      <c r="BB514" s="135">
        <f t="shared" si="208"/>
        <v>0</v>
      </c>
      <c r="BC514" s="135" t="str">
        <f t="shared" si="209"/>
        <v>no</v>
      </c>
      <c r="BD514" s="135" t="b">
        <f t="shared" si="210"/>
        <v>1</v>
      </c>
      <c r="BE514" s="139" t="s">
        <v>59</v>
      </c>
      <c r="BF514" s="136"/>
      <c r="BG514" s="472"/>
    </row>
    <row r="515" spans="1:59" s="170" customFormat="1" ht="154">
      <c r="A515" s="485"/>
      <c r="B515" s="472"/>
      <c r="C515" s="485"/>
      <c r="D515" s="485"/>
      <c r="E515" s="485"/>
      <c r="F515" s="494" t="s">
        <v>225</v>
      </c>
      <c r="G515" s="493"/>
      <c r="H515" s="493"/>
      <c r="I515" s="493"/>
      <c r="J515" s="493"/>
      <c r="K515" s="493"/>
      <c r="L515" s="493"/>
      <c r="M515" s="493"/>
      <c r="N515" s="493"/>
      <c r="O515" s="493"/>
      <c r="P515" s="493"/>
      <c r="Q515" s="493"/>
      <c r="R515" s="493"/>
      <c r="S515" s="273">
        <f>SUM(S501:S506)</f>
        <v>540</v>
      </c>
      <c r="T515" s="273"/>
      <c r="U515" s="162">
        <f>SUM(U501:U506)</f>
        <v>540</v>
      </c>
      <c r="V515" s="471">
        <f>SUM(V501:V506)</f>
        <v>0</v>
      </c>
      <c r="W515" s="473"/>
      <c r="X515" s="192"/>
      <c r="Y515" s="192"/>
      <c r="Z515" s="472"/>
      <c r="AA515" s="472"/>
      <c r="AB515" s="472"/>
      <c r="AC515" s="472"/>
      <c r="AD515" s="176"/>
      <c r="AE515" s="472"/>
      <c r="AF515" s="472"/>
      <c r="AG515" s="485"/>
      <c r="AH515" s="485"/>
      <c r="AI515" s="485"/>
      <c r="AJ515" s="485"/>
      <c r="AK515" s="485"/>
      <c r="AL515" s="485"/>
      <c r="AM515" s="485"/>
      <c r="AN515" s="485"/>
      <c r="AR515" s="135">
        <f>COUNTIF(B:B,B515)</f>
        <v>0</v>
      </c>
      <c r="AS515" s="135">
        <f t="shared" si="201"/>
        <v>0</v>
      </c>
      <c r="AT515" s="136"/>
      <c r="AU515" s="135" t="str">
        <f t="shared" si="202"/>
        <v>0</v>
      </c>
      <c r="AV515" s="135" t="str">
        <f t="shared" si="203"/>
        <v/>
      </c>
      <c r="AW515" s="135" t="str">
        <f t="shared" si="204"/>
        <v/>
      </c>
      <c r="AX515" s="135" t="str">
        <f t="shared" si="205"/>
        <v xml:space="preserve"> </v>
      </c>
      <c r="AY515" s="137"/>
      <c r="AZ515" s="138">
        <f t="shared" si="206"/>
        <v>0</v>
      </c>
      <c r="BA515" s="135" t="str">
        <f t="shared" si="207"/>
        <v xml:space="preserve"> </v>
      </c>
      <c r="BB515" s="135">
        <f t="shared" si="208"/>
        <v>0</v>
      </c>
      <c r="BC515" s="135" t="str">
        <f t="shared" si="209"/>
        <v>no</v>
      </c>
      <c r="BD515" s="135" t="b">
        <f t="shared" si="210"/>
        <v>0</v>
      </c>
      <c r="BE515" s="139" t="s">
        <v>59</v>
      </c>
      <c r="BF515" s="136"/>
    </row>
    <row r="516" spans="1:59" s="265" customFormat="1" ht="217.5">
      <c r="A516" s="128" t="s">
        <v>1200</v>
      </c>
      <c r="B516" s="128" t="s">
        <v>1201</v>
      </c>
      <c r="C516" s="149" t="s">
        <v>1202</v>
      </c>
      <c r="D516" s="149">
        <v>10077674</v>
      </c>
      <c r="E516" s="149" t="s">
        <v>80</v>
      </c>
      <c r="F516" s="154" t="s">
        <v>1203</v>
      </c>
      <c r="G516" s="274">
        <v>43499</v>
      </c>
      <c r="H516" s="155">
        <v>43864</v>
      </c>
      <c r="I516" s="156">
        <v>43875</v>
      </c>
      <c r="J516" s="155">
        <f>WORKDAY(H516,10)</f>
        <v>43878</v>
      </c>
      <c r="K516" s="156">
        <v>44012</v>
      </c>
      <c r="L516" s="156">
        <v>43878</v>
      </c>
      <c r="M516" s="156" t="s">
        <v>48</v>
      </c>
      <c r="N516" s="156" t="s">
        <v>48</v>
      </c>
      <c r="O516" s="156"/>
      <c r="P516" s="156"/>
      <c r="Q516" s="149" t="s">
        <v>49</v>
      </c>
      <c r="R516" s="149" t="s">
        <v>1204</v>
      </c>
      <c r="S516" s="149">
        <f t="shared" ref="S516:S532" si="233">U516+V516</f>
        <v>23</v>
      </c>
      <c r="T516" s="149"/>
      <c r="U516" s="149">
        <v>23</v>
      </c>
      <c r="V516" s="472">
        <v>0</v>
      </c>
      <c r="W516" s="149" t="s">
        <v>1205</v>
      </c>
      <c r="X516" s="149"/>
      <c r="Y516" s="149"/>
      <c r="Z516" s="149" t="s">
        <v>52</v>
      </c>
      <c r="AA516" s="149" t="s">
        <v>53</v>
      </c>
      <c r="AB516" s="149" t="s">
        <v>52</v>
      </c>
      <c r="AC516" s="149" t="s">
        <v>48</v>
      </c>
      <c r="AD516" s="156" t="s">
        <v>52</v>
      </c>
      <c r="AE516" s="156" t="s">
        <v>54</v>
      </c>
      <c r="AF516" s="156" t="s">
        <v>54</v>
      </c>
      <c r="AG516" s="149" t="s">
        <v>85</v>
      </c>
      <c r="AH516" s="149" t="s">
        <v>56</v>
      </c>
      <c r="AI516" s="149" t="s">
        <v>48</v>
      </c>
      <c r="AJ516" s="149"/>
      <c r="AK516" s="149">
        <v>0</v>
      </c>
      <c r="AL516" s="156" t="s">
        <v>1206</v>
      </c>
      <c r="AM516" s="149"/>
      <c r="AN516" s="149" t="s">
        <v>1207</v>
      </c>
      <c r="AO516" s="275"/>
      <c r="AP516" s="275"/>
      <c r="AQ516" s="275"/>
      <c r="AR516" s="135">
        <f>COUNTIF(B:B,B516)</f>
        <v>1</v>
      </c>
      <c r="AS516" s="135" t="str">
        <f t="shared" si="201"/>
        <v>2020_02_03_a</v>
      </c>
      <c r="AT516" s="136"/>
      <c r="AU516" s="135" t="str">
        <f t="shared" si="202"/>
        <v>2020</v>
      </c>
      <c r="AV516" s="135" t="str">
        <f t="shared" si="203"/>
        <v>02</v>
      </c>
      <c r="AW516" s="135" t="str">
        <f t="shared" si="204"/>
        <v>03</v>
      </c>
      <c r="AX516" s="135">
        <f t="shared" si="205"/>
        <v>43864</v>
      </c>
      <c r="AY516" s="137"/>
      <c r="AZ516" s="138">
        <f t="shared" si="206"/>
        <v>43864</v>
      </c>
      <c r="BA516" s="135" t="b">
        <f t="shared" si="207"/>
        <v>1</v>
      </c>
      <c r="BB516" s="135">
        <f t="shared" si="208"/>
        <v>43864</v>
      </c>
      <c r="BC516" s="135" t="str">
        <f t="shared" si="209"/>
        <v>no</v>
      </c>
      <c r="BD516" s="135" t="b">
        <f t="shared" si="210"/>
        <v>0</v>
      </c>
      <c r="BE516" s="139" t="s">
        <v>59</v>
      </c>
      <c r="BF516" s="136"/>
    </row>
    <row r="517" spans="1:59" s="82" customFormat="1" ht="154">
      <c r="A517" s="128" t="s">
        <v>1208</v>
      </c>
      <c r="B517" s="128" t="s">
        <v>1209</v>
      </c>
      <c r="C517" s="472" t="s">
        <v>1210</v>
      </c>
      <c r="D517" s="472">
        <v>10085539</v>
      </c>
      <c r="E517" s="472"/>
      <c r="F517" s="471" t="s">
        <v>1203</v>
      </c>
      <c r="G517" s="178" t="s">
        <v>1211</v>
      </c>
      <c r="H517" s="175">
        <v>44018</v>
      </c>
      <c r="I517" s="176">
        <v>44029</v>
      </c>
      <c r="J517" s="175">
        <v>44032</v>
      </c>
      <c r="K517" s="176">
        <v>44071</v>
      </c>
      <c r="L517" s="176">
        <f>K517+1</f>
        <v>44072</v>
      </c>
      <c r="M517" s="176" t="s">
        <v>48</v>
      </c>
      <c r="N517" s="176" t="s">
        <v>48</v>
      </c>
      <c r="O517" s="176"/>
      <c r="P517" s="176"/>
      <c r="Q517" s="472" t="s">
        <v>93</v>
      </c>
      <c r="R517" s="472" t="s">
        <v>1212</v>
      </c>
      <c r="S517" s="472">
        <f t="shared" si="233"/>
        <v>9</v>
      </c>
      <c r="T517" s="472"/>
      <c r="U517" s="472">
        <v>9</v>
      </c>
      <c r="V517" s="472">
        <v>0</v>
      </c>
      <c r="W517" s="472" t="s">
        <v>1213</v>
      </c>
      <c r="X517" s="472"/>
      <c r="Y517" s="472"/>
      <c r="Z517" s="472" t="s">
        <v>52</v>
      </c>
      <c r="AA517" s="472" t="s">
        <v>53</v>
      </c>
      <c r="AB517" s="166" t="s">
        <v>52</v>
      </c>
      <c r="AC517" s="472" t="s">
        <v>48</v>
      </c>
      <c r="AD517" s="472" t="s">
        <v>52</v>
      </c>
      <c r="AE517" s="472" t="s">
        <v>54</v>
      </c>
      <c r="AF517" s="472" t="s">
        <v>54</v>
      </c>
      <c r="AG517" s="472" t="s">
        <v>85</v>
      </c>
      <c r="AH517" s="472" t="s">
        <v>86</v>
      </c>
      <c r="AI517" s="472" t="s">
        <v>48</v>
      </c>
      <c r="AJ517" s="472"/>
      <c r="AK517" s="472"/>
      <c r="AL517" s="472" t="s">
        <v>57</v>
      </c>
      <c r="AM517" s="472"/>
      <c r="AN517" s="472"/>
      <c r="AR517" s="135">
        <f>COUNTIF(B:B,B517)</f>
        <v>1</v>
      </c>
      <c r="AS517" s="135" t="str">
        <f t="shared" si="201"/>
        <v>2020_07_06_a</v>
      </c>
      <c r="AT517" s="136"/>
      <c r="AU517" s="135" t="str">
        <f t="shared" si="202"/>
        <v>2020</v>
      </c>
      <c r="AV517" s="135" t="str">
        <f t="shared" si="203"/>
        <v>07</v>
      </c>
      <c r="AW517" s="135" t="str">
        <f t="shared" si="204"/>
        <v>06</v>
      </c>
      <c r="AX517" s="135">
        <f t="shared" si="205"/>
        <v>44018</v>
      </c>
      <c r="AY517" s="137"/>
      <c r="AZ517" s="138">
        <f t="shared" si="206"/>
        <v>44018</v>
      </c>
      <c r="BA517" s="135" t="b">
        <f t="shared" si="207"/>
        <v>1</v>
      </c>
      <c r="BB517" s="135">
        <f t="shared" si="208"/>
        <v>44018</v>
      </c>
      <c r="BC517" s="135" t="str">
        <f t="shared" si="209"/>
        <v>no</v>
      </c>
      <c r="BD517" s="135" t="b">
        <f t="shared" si="210"/>
        <v>0</v>
      </c>
      <c r="BE517" s="139" t="s">
        <v>59</v>
      </c>
      <c r="BF517" s="136"/>
    </row>
    <row r="518" spans="1:59" s="265" customFormat="1" ht="154">
      <c r="A518" s="258" t="s">
        <v>1214</v>
      </c>
      <c r="B518" s="149" t="s">
        <v>1215</v>
      </c>
      <c r="C518" s="149"/>
      <c r="D518" s="149">
        <v>10086581</v>
      </c>
      <c r="E518" s="149" t="s">
        <v>80</v>
      </c>
      <c r="F518" s="154" t="s">
        <v>1203</v>
      </c>
      <c r="G518" s="274" t="s">
        <v>1216</v>
      </c>
      <c r="H518" s="155">
        <v>44046</v>
      </c>
      <c r="I518" s="156">
        <v>44057</v>
      </c>
      <c r="J518" s="155">
        <v>44060</v>
      </c>
      <c r="K518" s="156">
        <v>44099</v>
      </c>
      <c r="L518" s="156">
        <f>K518+3</f>
        <v>44102</v>
      </c>
      <c r="M518" s="156" t="s">
        <v>48</v>
      </c>
      <c r="N518" s="156" t="s">
        <v>48</v>
      </c>
      <c r="O518" s="156"/>
      <c r="P518" s="156"/>
      <c r="Q518" s="149" t="s">
        <v>93</v>
      </c>
      <c r="R518" s="149" t="s">
        <v>1217</v>
      </c>
      <c r="S518" s="149">
        <f t="shared" si="233"/>
        <v>13</v>
      </c>
      <c r="T518" s="149"/>
      <c r="U518" s="149">
        <v>13</v>
      </c>
      <c r="V518" s="472">
        <v>0</v>
      </c>
      <c r="W518" s="149" t="s">
        <v>527</v>
      </c>
      <c r="X518" s="149"/>
      <c r="Y518" s="149"/>
      <c r="Z518" s="149" t="s">
        <v>52</v>
      </c>
      <c r="AA518" s="149" t="s">
        <v>53</v>
      </c>
      <c r="AB518" s="149" t="s">
        <v>52</v>
      </c>
      <c r="AC518" s="149" t="s">
        <v>48</v>
      </c>
      <c r="AD518" s="149" t="s">
        <v>52</v>
      </c>
      <c r="AE518" s="156" t="s">
        <v>54</v>
      </c>
      <c r="AF518" s="156" t="s">
        <v>54</v>
      </c>
      <c r="AG518" s="149" t="s">
        <v>85</v>
      </c>
      <c r="AH518" s="149" t="s">
        <v>86</v>
      </c>
      <c r="AI518" s="149"/>
      <c r="AJ518" s="149"/>
      <c r="AK518" s="149"/>
      <c r="AL518" s="149" t="s">
        <v>57</v>
      </c>
      <c r="AM518" s="149"/>
      <c r="AN518" s="149"/>
      <c r="AR518" s="135">
        <f>COUNTIF(B:B,B518)</f>
        <v>1</v>
      </c>
      <c r="AS518" s="135" t="str">
        <f t="shared" si="201"/>
        <v>2020_08_03_a</v>
      </c>
      <c r="AT518" s="136"/>
      <c r="AU518" s="135" t="str">
        <f t="shared" si="202"/>
        <v>2020</v>
      </c>
      <c r="AV518" s="135" t="str">
        <f t="shared" si="203"/>
        <v>08</v>
      </c>
      <c r="AW518" s="135" t="str">
        <f t="shared" si="204"/>
        <v>03</v>
      </c>
      <c r="AX518" s="135">
        <f t="shared" si="205"/>
        <v>44046</v>
      </c>
      <c r="AY518" s="137"/>
      <c r="AZ518" s="138">
        <f t="shared" si="206"/>
        <v>44046</v>
      </c>
      <c r="BA518" s="135" t="b">
        <f t="shared" si="207"/>
        <v>1</v>
      </c>
      <c r="BB518" s="135">
        <f t="shared" si="208"/>
        <v>44046</v>
      </c>
      <c r="BC518" s="135" t="str">
        <f t="shared" si="209"/>
        <v>no</v>
      </c>
      <c r="BD518" s="135" t="b">
        <f t="shared" si="210"/>
        <v>0</v>
      </c>
      <c r="BE518" s="139" t="s">
        <v>59</v>
      </c>
      <c r="BF518" s="136"/>
    </row>
    <row r="519" spans="1:59" s="265" customFormat="1" ht="154">
      <c r="A519" s="258" t="s">
        <v>1218</v>
      </c>
      <c r="B519" s="149" t="s">
        <v>1219</v>
      </c>
      <c r="C519" s="149"/>
      <c r="D519" s="149">
        <v>10087657</v>
      </c>
      <c r="E519" s="149" t="s">
        <v>80</v>
      </c>
      <c r="F519" s="154" t="s">
        <v>1203</v>
      </c>
      <c r="G519" s="274" t="s">
        <v>1220</v>
      </c>
      <c r="H519" s="155">
        <v>44077</v>
      </c>
      <c r="I519" s="156">
        <v>44090</v>
      </c>
      <c r="J519" s="155">
        <f>WORKDAY(H519,10)</f>
        <v>44091</v>
      </c>
      <c r="K519" s="156">
        <v>44125</v>
      </c>
      <c r="L519" s="156">
        <f>K519+1</f>
        <v>44126</v>
      </c>
      <c r="M519" s="156" t="s">
        <v>48</v>
      </c>
      <c r="N519" s="156" t="s">
        <v>48</v>
      </c>
      <c r="O519" s="156"/>
      <c r="P519" s="156"/>
      <c r="Q519" s="149" t="s">
        <v>93</v>
      </c>
      <c r="R519" s="149" t="s">
        <v>1221</v>
      </c>
      <c r="S519" s="149">
        <f t="shared" si="233"/>
        <v>15</v>
      </c>
      <c r="T519" s="149"/>
      <c r="U519" s="149">
        <v>15</v>
      </c>
      <c r="V519" s="472">
        <v>0</v>
      </c>
      <c r="W519" s="149" t="s">
        <v>1222</v>
      </c>
      <c r="X519" s="149"/>
      <c r="Y519" s="149"/>
      <c r="Z519" s="149" t="s">
        <v>52</v>
      </c>
      <c r="AA519" s="149" t="s">
        <v>53</v>
      </c>
      <c r="AB519" s="149" t="s">
        <v>52</v>
      </c>
      <c r="AC519" s="149" t="s">
        <v>48</v>
      </c>
      <c r="AD519" s="149" t="s">
        <v>53</v>
      </c>
      <c r="AE519" s="156" t="s">
        <v>54</v>
      </c>
      <c r="AF519" s="156" t="s">
        <v>54</v>
      </c>
      <c r="AG519" s="149" t="s">
        <v>85</v>
      </c>
      <c r="AH519" s="149" t="s">
        <v>86</v>
      </c>
      <c r="AI519" s="149" t="s">
        <v>48</v>
      </c>
      <c r="AJ519" s="149"/>
      <c r="AK519" s="149"/>
      <c r="AL519" s="149" t="s">
        <v>57</v>
      </c>
      <c r="AM519" s="149"/>
      <c r="AN519" s="149"/>
      <c r="AR519" s="135">
        <f>COUNTIF(B:B,B519)</f>
        <v>1</v>
      </c>
      <c r="AS519" s="135" t="str">
        <f t="shared" si="201"/>
        <v>2020_09_03_a</v>
      </c>
      <c r="AT519" s="136"/>
      <c r="AU519" s="135" t="str">
        <f t="shared" si="202"/>
        <v>2020</v>
      </c>
      <c r="AV519" s="135" t="str">
        <f t="shared" si="203"/>
        <v>09</v>
      </c>
      <c r="AW519" s="135" t="str">
        <f t="shared" si="204"/>
        <v>03</v>
      </c>
      <c r="AX519" s="135">
        <f t="shared" si="205"/>
        <v>44077</v>
      </c>
      <c r="AY519" s="137"/>
      <c r="AZ519" s="138">
        <f t="shared" si="206"/>
        <v>44077</v>
      </c>
      <c r="BA519" s="135" t="b">
        <f t="shared" si="207"/>
        <v>1</v>
      </c>
      <c r="BB519" s="135">
        <f t="shared" si="208"/>
        <v>44077</v>
      </c>
      <c r="BC519" s="135" t="str">
        <f t="shared" si="209"/>
        <v>no</v>
      </c>
      <c r="BD519" s="135" t="b">
        <f t="shared" si="210"/>
        <v>0</v>
      </c>
      <c r="BE519" s="139" t="s">
        <v>59</v>
      </c>
      <c r="BF519" s="136"/>
    </row>
    <row r="520" spans="1:59" s="265" customFormat="1" ht="154">
      <c r="A520" s="258" t="s">
        <v>1223</v>
      </c>
      <c r="B520" s="149" t="s">
        <v>1224</v>
      </c>
      <c r="C520" s="149"/>
      <c r="D520" s="149">
        <v>10097026</v>
      </c>
      <c r="E520" s="149" t="s">
        <v>80</v>
      </c>
      <c r="F520" s="154" t="s">
        <v>1203</v>
      </c>
      <c r="G520" s="274" t="s">
        <v>1225</v>
      </c>
      <c r="H520" s="155">
        <v>44109</v>
      </c>
      <c r="I520" s="156">
        <v>44120</v>
      </c>
      <c r="J520" s="155">
        <f>WORKDAY(H520,10)</f>
        <v>44123</v>
      </c>
      <c r="K520" s="156">
        <v>44162</v>
      </c>
      <c r="L520" s="156">
        <f>K520+1</f>
        <v>44163</v>
      </c>
      <c r="M520" s="156" t="s">
        <v>48</v>
      </c>
      <c r="N520" s="156" t="s">
        <v>48</v>
      </c>
      <c r="O520" s="156"/>
      <c r="P520" s="156"/>
      <c r="Q520" s="149" t="s">
        <v>106</v>
      </c>
      <c r="R520" s="149" t="s">
        <v>1226</v>
      </c>
      <c r="S520" s="149">
        <f t="shared" si="233"/>
        <v>18</v>
      </c>
      <c r="T520" s="149"/>
      <c r="U520" s="149">
        <v>18</v>
      </c>
      <c r="V520" s="472">
        <v>0</v>
      </c>
      <c r="W520" s="149" t="s">
        <v>1227</v>
      </c>
      <c r="X520" s="149"/>
      <c r="Y520" s="149"/>
      <c r="Z520" s="149" t="s">
        <v>52</v>
      </c>
      <c r="AA520" s="149" t="s">
        <v>53</v>
      </c>
      <c r="AB520" s="149" t="s">
        <v>52</v>
      </c>
      <c r="AC520" s="149" t="s">
        <v>48</v>
      </c>
      <c r="AD520" s="149" t="s">
        <v>54</v>
      </c>
      <c r="AE520" s="156" t="s">
        <v>54</v>
      </c>
      <c r="AF520" s="156" t="s">
        <v>54</v>
      </c>
      <c r="AG520" s="149" t="s">
        <v>85</v>
      </c>
      <c r="AH520" s="149" t="s">
        <v>86</v>
      </c>
      <c r="AI520" s="149" t="s">
        <v>48</v>
      </c>
      <c r="AJ520" s="149"/>
      <c r="AK520" s="149"/>
      <c r="AL520" s="149" t="s">
        <v>57</v>
      </c>
      <c r="AM520" s="149"/>
      <c r="AN520" s="149" t="s">
        <v>1228</v>
      </c>
      <c r="AR520" s="135">
        <f>COUNTIF(B:B,B520)</f>
        <v>1</v>
      </c>
      <c r="AS520" s="135" t="str">
        <f t="shared" si="201"/>
        <v>2020_10_05_a</v>
      </c>
      <c r="AT520" s="136"/>
      <c r="AU520" s="135" t="str">
        <f t="shared" si="202"/>
        <v>2020</v>
      </c>
      <c r="AV520" s="135" t="str">
        <f t="shared" si="203"/>
        <v>10</v>
      </c>
      <c r="AW520" s="135" t="str">
        <f t="shared" si="204"/>
        <v>05</v>
      </c>
      <c r="AX520" s="135">
        <f t="shared" si="205"/>
        <v>44109</v>
      </c>
      <c r="AY520" s="137"/>
      <c r="AZ520" s="138">
        <f t="shared" si="206"/>
        <v>44109</v>
      </c>
      <c r="BA520" s="135" t="b">
        <f t="shared" si="207"/>
        <v>1</v>
      </c>
      <c r="BB520" s="135">
        <f t="shared" si="208"/>
        <v>44109</v>
      </c>
      <c r="BC520" s="135" t="str">
        <f t="shared" si="209"/>
        <v>no</v>
      </c>
      <c r="BD520" s="135" t="b">
        <f t="shared" si="210"/>
        <v>0</v>
      </c>
      <c r="BE520" s="139" t="s">
        <v>59</v>
      </c>
      <c r="BF520" s="136"/>
    </row>
    <row r="521" spans="1:59" s="276" customFormat="1" ht="154">
      <c r="A521" s="81"/>
      <c r="B521" s="472" t="s">
        <v>1229</v>
      </c>
      <c r="C521" s="472"/>
      <c r="D521" s="472">
        <v>10094710</v>
      </c>
      <c r="E521" s="472"/>
      <c r="F521" s="471" t="s">
        <v>1203</v>
      </c>
      <c r="G521" s="176">
        <v>44200</v>
      </c>
      <c r="H521" s="175">
        <v>44200</v>
      </c>
      <c r="I521" s="176">
        <v>44211</v>
      </c>
      <c r="J521" s="175">
        <v>44214</v>
      </c>
      <c r="K521" s="176">
        <v>44246</v>
      </c>
      <c r="L521" s="176">
        <v>44249</v>
      </c>
      <c r="M521" s="176" t="s">
        <v>48</v>
      </c>
      <c r="N521" s="176" t="s">
        <v>48</v>
      </c>
      <c r="O521" s="176"/>
      <c r="P521" s="176"/>
      <c r="Q521" s="472" t="s">
        <v>49</v>
      </c>
      <c r="R521" s="472" t="s">
        <v>1230</v>
      </c>
      <c r="S521" s="472">
        <f t="shared" si="233"/>
        <v>10</v>
      </c>
      <c r="T521" s="472"/>
      <c r="U521" s="472">
        <v>10</v>
      </c>
      <c r="V521" s="472">
        <v>0</v>
      </c>
      <c r="W521" s="472" t="s">
        <v>1222</v>
      </c>
      <c r="X521" s="472"/>
      <c r="Y521" s="472"/>
      <c r="Z521" s="472" t="s">
        <v>52</v>
      </c>
      <c r="AA521" s="472" t="s">
        <v>53</v>
      </c>
      <c r="AB521" s="472" t="s">
        <v>52</v>
      </c>
      <c r="AC521" s="472"/>
      <c r="AD521" s="472"/>
      <c r="AE521" s="176"/>
      <c r="AF521" s="176"/>
      <c r="AG521" s="472" t="s">
        <v>85</v>
      </c>
      <c r="AH521" s="472"/>
      <c r="AI521" s="472"/>
      <c r="AJ521" s="472"/>
      <c r="AK521" s="472"/>
      <c r="AL521" s="472" t="s">
        <v>57</v>
      </c>
      <c r="AM521" s="472"/>
      <c r="AN521" s="472"/>
      <c r="AO521" s="82"/>
      <c r="AP521" s="82"/>
      <c r="AR521" s="135">
        <f>COUNTIF(B:B,B521)</f>
        <v>1</v>
      </c>
      <c r="AS521" s="135" t="str">
        <f t="shared" si="201"/>
        <v>2021_01_04_a</v>
      </c>
      <c r="AT521" s="136"/>
      <c r="AU521" s="135" t="str">
        <f t="shared" si="202"/>
        <v>2021</v>
      </c>
      <c r="AV521" s="135" t="str">
        <f t="shared" si="203"/>
        <v>01</v>
      </c>
      <c r="AW521" s="135" t="str">
        <f t="shared" si="204"/>
        <v>04</v>
      </c>
      <c r="AX521" s="135">
        <f t="shared" si="205"/>
        <v>44200</v>
      </c>
      <c r="AY521" s="137"/>
      <c r="AZ521" s="138">
        <f t="shared" si="206"/>
        <v>44200</v>
      </c>
      <c r="BA521" s="135" t="b">
        <f t="shared" si="207"/>
        <v>1</v>
      </c>
      <c r="BB521" s="135">
        <f t="shared" si="208"/>
        <v>44200</v>
      </c>
      <c r="BC521" s="135" t="str">
        <f t="shared" si="209"/>
        <v>no</v>
      </c>
      <c r="BD521" s="135" t="b">
        <f t="shared" si="210"/>
        <v>0</v>
      </c>
      <c r="BE521" s="139" t="s">
        <v>59</v>
      </c>
      <c r="BF521" s="136"/>
    </row>
    <row r="522" spans="1:59" s="276" customFormat="1" ht="154">
      <c r="A522" s="81" t="s">
        <v>1208</v>
      </c>
      <c r="B522" s="472" t="s">
        <v>1231</v>
      </c>
      <c r="C522" s="472"/>
      <c r="D522" s="472">
        <v>10097026</v>
      </c>
      <c r="E522" s="472"/>
      <c r="F522" s="471" t="s">
        <v>1203</v>
      </c>
      <c r="G522" s="178">
        <v>44256</v>
      </c>
      <c r="H522" s="175">
        <v>44256</v>
      </c>
      <c r="I522" s="176">
        <v>44267</v>
      </c>
      <c r="J522" s="175">
        <v>44270</v>
      </c>
      <c r="K522" s="176">
        <v>44309</v>
      </c>
      <c r="L522" s="176">
        <v>44312</v>
      </c>
      <c r="M522" s="176" t="s">
        <v>48</v>
      </c>
      <c r="N522" s="176" t="s">
        <v>48</v>
      </c>
      <c r="O522" s="176"/>
      <c r="P522" s="176"/>
      <c r="Q522" s="472" t="s">
        <v>82</v>
      </c>
      <c r="R522" s="472" t="s">
        <v>1212</v>
      </c>
      <c r="S522" s="472">
        <f t="shared" si="233"/>
        <v>17</v>
      </c>
      <c r="T522" s="472"/>
      <c r="U522" s="472">
        <v>17</v>
      </c>
      <c r="V522" s="472">
        <v>0</v>
      </c>
      <c r="W522" s="472" t="s">
        <v>1232</v>
      </c>
      <c r="X522" s="472"/>
      <c r="Y522" s="472"/>
      <c r="Z522" s="472" t="s">
        <v>1233</v>
      </c>
      <c r="AA522" s="472" t="s">
        <v>53</v>
      </c>
      <c r="AB522" s="472" t="s">
        <v>53</v>
      </c>
      <c r="AC522" s="472" t="s">
        <v>48</v>
      </c>
      <c r="AD522" s="472" t="s">
        <v>54</v>
      </c>
      <c r="AE522" s="472" t="s">
        <v>54</v>
      </c>
      <c r="AF522" s="472" t="s">
        <v>54</v>
      </c>
      <c r="AG522" s="472" t="s">
        <v>85</v>
      </c>
      <c r="AH522" s="472" t="s">
        <v>86</v>
      </c>
      <c r="AI522" s="472" t="s">
        <v>48</v>
      </c>
      <c r="AJ522" s="472"/>
      <c r="AK522" s="472"/>
      <c r="AL522" s="472" t="s">
        <v>57</v>
      </c>
      <c r="AM522" s="472"/>
      <c r="AN522" s="472"/>
      <c r="AO522" s="82"/>
      <c r="AP522" s="82"/>
      <c r="AR522" s="135">
        <f>COUNTIF(B:B,B522)</f>
        <v>1</v>
      </c>
      <c r="AS522" s="135" t="str">
        <f t="shared" si="201"/>
        <v>2021_03_01_a</v>
      </c>
      <c r="AT522" s="136"/>
      <c r="AU522" s="135" t="str">
        <f t="shared" si="202"/>
        <v>2021</v>
      </c>
      <c r="AV522" s="135" t="str">
        <f t="shared" si="203"/>
        <v>03</v>
      </c>
      <c r="AW522" s="135" t="str">
        <f t="shared" si="204"/>
        <v>01</v>
      </c>
      <c r="AX522" s="135">
        <f t="shared" si="205"/>
        <v>44256</v>
      </c>
      <c r="AY522" s="137"/>
      <c r="AZ522" s="138">
        <f t="shared" si="206"/>
        <v>44256</v>
      </c>
      <c r="BA522" s="135" t="b">
        <f t="shared" si="207"/>
        <v>1</v>
      </c>
      <c r="BB522" s="135">
        <f t="shared" si="208"/>
        <v>44256</v>
      </c>
      <c r="BC522" s="135" t="str">
        <f t="shared" si="209"/>
        <v>no</v>
      </c>
      <c r="BD522" s="135" t="b">
        <f t="shared" si="210"/>
        <v>0</v>
      </c>
      <c r="BE522" s="139" t="s">
        <v>59</v>
      </c>
      <c r="BF522" s="136"/>
    </row>
    <row r="523" spans="1:59" s="276" customFormat="1" ht="154">
      <c r="A523" s="81" t="s">
        <v>1208</v>
      </c>
      <c r="B523" s="472" t="s">
        <v>1234</v>
      </c>
      <c r="C523" s="472"/>
      <c r="D523" s="472" t="s">
        <v>1235</v>
      </c>
      <c r="E523" s="472"/>
      <c r="F523" s="471" t="s">
        <v>1203</v>
      </c>
      <c r="G523" s="178">
        <v>44294</v>
      </c>
      <c r="H523" s="175">
        <v>44298</v>
      </c>
      <c r="I523" s="176">
        <v>44312</v>
      </c>
      <c r="J523" s="175">
        <v>44313</v>
      </c>
      <c r="K523" s="176">
        <v>44348</v>
      </c>
      <c r="L523" s="176">
        <v>44349</v>
      </c>
      <c r="M523" s="176" t="s">
        <v>48</v>
      </c>
      <c r="N523" s="176" t="s">
        <v>48</v>
      </c>
      <c r="O523" s="176"/>
      <c r="P523" s="176"/>
      <c r="Q523" s="472" t="s">
        <v>82</v>
      </c>
      <c r="R523" s="472" t="s">
        <v>1212</v>
      </c>
      <c r="S523" s="472">
        <f t="shared" si="233"/>
        <v>4</v>
      </c>
      <c r="T523" s="472"/>
      <c r="U523" s="472">
        <v>4</v>
      </c>
      <c r="V523" s="472">
        <v>0</v>
      </c>
      <c r="W523" s="472" t="s">
        <v>1222</v>
      </c>
      <c r="X523" s="472"/>
      <c r="Y523" s="472"/>
      <c r="Z523" s="472" t="s">
        <v>52</v>
      </c>
      <c r="AA523" s="472" t="s">
        <v>53</v>
      </c>
      <c r="AB523" s="472" t="s">
        <v>53</v>
      </c>
      <c r="AC523" s="472" t="s">
        <v>48</v>
      </c>
      <c r="AD523" s="472" t="s">
        <v>54</v>
      </c>
      <c r="AE523" s="472" t="s">
        <v>54</v>
      </c>
      <c r="AF523" s="472" t="s">
        <v>54</v>
      </c>
      <c r="AG523" s="472" t="s">
        <v>85</v>
      </c>
      <c r="AH523" s="472" t="s">
        <v>86</v>
      </c>
      <c r="AI523" s="472" t="s">
        <v>48</v>
      </c>
      <c r="AJ523" s="472"/>
      <c r="AK523" s="472"/>
      <c r="AL523" s="472" t="s">
        <v>57</v>
      </c>
      <c r="AM523" s="472"/>
      <c r="AN523" s="472"/>
      <c r="AO523" s="82"/>
      <c r="AP523" s="82"/>
      <c r="AR523" s="135">
        <f>COUNTIF(B:B,B523)</f>
        <v>1</v>
      </c>
      <c r="AS523" s="135" t="str">
        <f t="shared" si="201"/>
        <v>2021_04_12_a</v>
      </c>
      <c r="AT523" s="136"/>
      <c r="AU523" s="135" t="str">
        <f t="shared" si="202"/>
        <v>2021</v>
      </c>
      <c r="AV523" s="135" t="str">
        <f t="shared" si="203"/>
        <v>04</v>
      </c>
      <c r="AW523" s="135" t="str">
        <f t="shared" si="204"/>
        <v>12</v>
      </c>
      <c r="AX523" s="135">
        <f t="shared" si="205"/>
        <v>44298</v>
      </c>
      <c r="AY523" s="137"/>
      <c r="AZ523" s="138">
        <f t="shared" si="206"/>
        <v>44298</v>
      </c>
      <c r="BA523" s="135" t="b">
        <f t="shared" si="207"/>
        <v>1</v>
      </c>
      <c r="BB523" s="135">
        <f t="shared" si="208"/>
        <v>44298</v>
      </c>
      <c r="BC523" s="135" t="str">
        <f t="shared" si="209"/>
        <v>no</v>
      </c>
      <c r="BD523" s="135" t="b">
        <f t="shared" si="210"/>
        <v>0</v>
      </c>
      <c r="BE523" s="139" t="s">
        <v>59</v>
      </c>
      <c r="BF523" s="136"/>
    </row>
    <row r="524" spans="1:59" s="276" customFormat="1" ht="154">
      <c r="A524" s="81"/>
      <c r="B524" s="81" t="s">
        <v>1236</v>
      </c>
      <c r="C524" s="472"/>
      <c r="D524" s="472">
        <v>10103647</v>
      </c>
      <c r="E524" s="472"/>
      <c r="F524" s="471" t="s">
        <v>1203</v>
      </c>
      <c r="G524" s="178">
        <v>44284</v>
      </c>
      <c r="H524" s="167">
        <v>44382</v>
      </c>
      <c r="I524" s="176">
        <v>44393</v>
      </c>
      <c r="J524" s="195">
        <f>WORKDAY(H524,10)</f>
        <v>44396</v>
      </c>
      <c r="K524" s="176"/>
      <c r="L524" s="176"/>
      <c r="M524" s="176"/>
      <c r="N524" s="176"/>
      <c r="O524" s="176"/>
      <c r="P524" s="176"/>
      <c r="Q524" s="81" t="s">
        <v>93</v>
      </c>
      <c r="R524" s="81" t="s">
        <v>1212</v>
      </c>
      <c r="S524" s="472">
        <f t="shared" si="233"/>
        <v>20</v>
      </c>
      <c r="T524" s="472"/>
      <c r="U524" s="472">
        <v>20</v>
      </c>
      <c r="V524" s="472">
        <v>0</v>
      </c>
      <c r="W524" s="472"/>
      <c r="X524" s="472"/>
      <c r="Y524" s="472"/>
      <c r="Z524" s="472" t="s">
        <v>52</v>
      </c>
      <c r="AA524" s="472"/>
      <c r="AB524" s="472"/>
      <c r="AC524" s="472"/>
      <c r="AD524" s="472"/>
      <c r="AE524" s="472"/>
      <c r="AF524" s="472"/>
      <c r="AG524" s="472" t="s">
        <v>85</v>
      </c>
      <c r="AH524" s="472"/>
      <c r="AI524" s="472"/>
      <c r="AJ524" s="472"/>
      <c r="AK524" s="472"/>
      <c r="AL524" s="472" t="s">
        <v>57</v>
      </c>
      <c r="AM524" s="472"/>
      <c r="AN524" s="472"/>
      <c r="AO524" s="82"/>
      <c r="AP524" s="82"/>
      <c r="AR524" s="135">
        <f>COUNTIF(B:B,B524)</f>
        <v>1</v>
      </c>
      <c r="AS524" s="135" t="str">
        <f t="shared" si="201"/>
        <v>2021_07_05_a</v>
      </c>
      <c r="AT524" s="136"/>
      <c r="AU524" s="135" t="str">
        <f t="shared" si="202"/>
        <v>2021</v>
      </c>
      <c r="AV524" s="135" t="str">
        <f t="shared" si="203"/>
        <v>07</v>
      </c>
      <c r="AW524" s="135" t="str">
        <f t="shared" si="204"/>
        <v>05</v>
      </c>
      <c r="AX524" s="135">
        <f t="shared" si="205"/>
        <v>44382</v>
      </c>
      <c r="AY524" s="137"/>
      <c r="AZ524" s="138">
        <f t="shared" si="206"/>
        <v>44382</v>
      </c>
      <c r="BA524" s="135" t="b">
        <f t="shared" si="207"/>
        <v>1</v>
      </c>
      <c r="BB524" s="135">
        <f t="shared" si="208"/>
        <v>44382</v>
      </c>
      <c r="BC524" s="135" t="str">
        <f t="shared" si="209"/>
        <v>no</v>
      </c>
      <c r="BD524" s="135" t="b">
        <f t="shared" si="210"/>
        <v>0</v>
      </c>
      <c r="BE524" s="139" t="s">
        <v>59</v>
      </c>
      <c r="BF524" s="136"/>
    </row>
    <row r="525" spans="1:59" s="170" customFormat="1" ht="154">
      <c r="A525" s="485" t="s">
        <v>1218</v>
      </c>
      <c r="B525" s="81" t="s">
        <v>1237</v>
      </c>
      <c r="C525" s="485"/>
      <c r="D525" s="485">
        <v>10104707</v>
      </c>
      <c r="E525" s="485"/>
      <c r="F525" s="486" t="s">
        <v>1203</v>
      </c>
      <c r="G525" s="277">
        <v>44413</v>
      </c>
      <c r="H525" s="167">
        <v>44415</v>
      </c>
      <c r="I525" s="194">
        <v>44398</v>
      </c>
      <c r="J525" s="195">
        <f>WORKDAY(H525,10)</f>
        <v>44428</v>
      </c>
      <c r="K525" s="194">
        <v>44435</v>
      </c>
      <c r="L525" s="194">
        <f>K525+1</f>
        <v>44436</v>
      </c>
      <c r="M525" s="194" t="s">
        <v>48</v>
      </c>
      <c r="N525" s="194" t="s">
        <v>48</v>
      </c>
      <c r="O525" s="194"/>
      <c r="P525" s="194"/>
      <c r="Q525" s="485" t="s">
        <v>93</v>
      </c>
      <c r="R525" s="485" t="s">
        <v>1221</v>
      </c>
      <c r="S525" s="485">
        <f t="shared" si="233"/>
        <v>15</v>
      </c>
      <c r="T525" s="485"/>
      <c r="U525" s="485">
        <v>15</v>
      </c>
      <c r="V525" s="472">
        <v>0</v>
      </c>
      <c r="W525" s="485" t="s">
        <v>1222</v>
      </c>
      <c r="X525" s="485"/>
      <c r="Y525" s="485"/>
      <c r="Z525" s="485" t="s">
        <v>52</v>
      </c>
      <c r="AA525" s="485" t="s">
        <v>53</v>
      </c>
      <c r="AB525" s="485" t="s">
        <v>53</v>
      </c>
      <c r="AC525" s="485" t="s">
        <v>48</v>
      </c>
      <c r="AD525" s="485" t="s">
        <v>54</v>
      </c>
      <c r="AE525" s="194" t="s">
        <v>54</v>
      </c>
      <c r="AF525" s="194" t="s">
        <v>54</v>
      </c>
      <c r="AG525" s="485" t="s">
        <v>85</v>
      </c>
      <c r="AH525" s="485" t="s">
        <v>86</v>
      </c>
      <c r="AI525" s="485" t="s">
        <v>48</v>
      </c>
      <c r="AJ525" s="485"/>
      <c r="AK525" s="485"/>
      <c r="AL525" s="485" t="s">
        <v>57</v>
      </c>
      <c r="AM525" s="485"/>
      <c r="AN525" s="485"/>
      <c r="AR525" s="135">
        <f>COUNTIF(B:B,B525)</f>
        <v>1</v>
      </c>
      <c r="AS525" s="135" t="str">
        <f t="shared" si="201"/>
        <v>2021_08_07_a</v>
      </c>
      <c r="AT525" s="136"/>
      <c r="AU525" s="135" t="str">
        <f t="shared" si="202"/>
        <v>2021</v>
      </c>
      <c r="AV525" s="135" t="str">
        <f t="shared" si="203"/>
        <v>08</v>
      </c>
      <c r="AW525" s="135" t="str">
        <f t="shared" si="204"/>
        <v>07</v>
      </c>
      <c r="AX525" s="135">
        <f t="shared" si="205"/>
        <v>44415</v>
      </c>
      <c r="AY525" s="137"/>
      <c r="AZ525" s="138">
        <f t="shared" si="206"/>
        <v>44415</v>
      </c>
      <c r="BA525" s="135" t="b">
        <f t="shared" si="207"/>
        <v>1</v>
      </c>
      <c r="BB525" s="135">
        <f t="shared" si="208"/>
        <v>44415</v>
      </c>
      <c r="BC525" s="135" t="str">
        <f t="shared" si="209"/>
        <v>no</v>
      </c>
      <c r="BD525" s="135" t="b">
        <f t="shared" si="210"/>
        <v>0</v>
      </c>
      <c r="BE525" s="139" t="s">
        <v>59</v>
      </c>
      <c r="BF525" s="136"/>
    </row>
    <row r="526" spans="1:59" s="170" customFormat="1" ht="154">
      <c r="A526" s="485" t="s">
        <v>1223</v>
      </c>
      <c r="B526" s="472" t="s">
        <v>1238</v>
      </c>
      <c r="C526" s="485"/>
      <c r="D526" s="485">
        <v>10102447</v>
      </c>
      <c r="E526" s="485"/>
      <c r="F526" s="486" t="s">
        <v>1203</v>
      </c>
      <c r="G526" s="278">
        <v>44378</v>
      </c>
      <c r="H526" s="195">
        <v>44382</v>
      </c>
      <c r="I526" s="194">
        <v>44393</v>
      </c>
      <c r="J526" s="195">
        <f>WORKDAY(H526,10)</f>
        <v>44396</v>
      </c>
      <c r="K526" s="194">
        <v>44435</v>
      </c>
      <c r="L526" s="194">
        <v>44436</v>
      </c>
      <c r="M526" s="194" t="s">
        <v>48</v>
      </c>
      <c r="N526" s="194" t="s">
        <v>48</v>
      </c>
      <c r="O526" s="194"/>
      <c r="P526" s="194"/>
      <c r="Q526" s="485" t="s">
        <v>93</v>
      </c>
      <c r="R526" s="485" t="s">
        <v>1226</v>
      </c>
      <c r="S526" s="485">
        <f t="shared" si="233"/>
        <v>26</v>
      </c>
      <c r="T526" s="485"/>
      <c r="U526" s="485">
        <v>26</v>
      </c>
      <c r="V526" s="472">
        <v>0</v>
      </c>
      <c r="W526" s="485" t="s">
        <v>1227</v>
      </c>
      <c r="X526" s="485"/>
      <c r="Y526" s="485"/>
      <c r="Z526" s="472" t="s">
        <v>52</v>
      </c>
      <c r="AA526" s="485" t="s">
        <v>53</v>
      </c>
      <c r="AB526" s="472" t="s">
        <v>53</v>
      </c>
      <c r="AC526" s="485" t="s">
        <v>48</v>
      </c>
      <c r="AD526" s="485" t="s">
        <v>54</v>
      </c>
      <c r="AE526" s="194" t="s">
        <v>54</v>
      </c>
      <c r="AF526" s="194" t="s">
        <v>54</v>
      </c>
      <c r="AG526" s="485" t="s">
        <v>85</v>
      </c>
      <c r="AH526" s="485" t="s">
        <v>86</v>
      </c>
      <c r="AI526" s="485" t="s">
        <v>48</v>
      </c>
      <c r="AJ526" s="485"/>
      <c r="AK526" s="485"/>
      <c r="AL526" s="485" t="s">
        <v>57</v>
      </c>
      <c r="AM526" s="485"/>
      <c r="AN526" s="485"/>
      <c r="AR526" s="135">
        <f>COUNTIF(B:B,B526)</f>
        <v>1</v>
      </c>
      <c r="AS526" s="135" t="str">
        <f t="shared" si="201"/>
        <v>2021_07_05_a</v>
      </c>
      <c r="AT526" s="136"/>
      <c r="AU526" s="135" t="str">
        <f t="shared" si="202"/>
        <v>2021</v>
      </c>
      <c r="AV526" s="135" t="str">
        <f t="shared" si="203"/>
        <v>07</v>
      </c>
      <c r="AW526" s="135" t="str">
        <f t="shared" si="204"/>
        <v>05</v>
      </c>
      <c r="AX526" s="135">
        <f t="shared" si="205"/>
        <v>44382</v>
      </c>
      <c r="AY526" s="137"/>
      <c r="AZ526" s="138">
        <f t="shared" si="206"/>
        <v>44382</v>
      </c>
      <c r="BA526" s="135" t="b">
        <f t="shared" si="207"/>
        <v>1</v>
      </c>
      <c r="BB526" s="135">
        <f t="shared" si="208"/>
        <v>44382</v>
      </c>
      <c r="BC526" s="135" t="str">
        <f t="shared" si="209"/>
        <v>no</v>
      </c>
      <c r="BD526" s="135" t="b">
        <f t="shared" si="210"/>
        <v>0</v>
      </c>
      <c r="BE526" s="139" t="s">
        <v>59</v>
      </c>
      <c r="BF526" s="136"/>
    </row>
    <row r="527" spans="1:59" s="276" customFormat="1" ht="154">
      <c r="A527" s="81"/>
      <c r="B527" s="81" t="s">
        <v>1239</v>
      </c>
      <c r="C527" s="472"/>
      <c r="D527" s="472">
        <v>10213587</v>
      </c>
      <c r="E527" s="472"/>
      <c r="F527" s="471" t="s">
        <v>1203</v>
      </c>
      <c r="G527" s="277">
        <v>44480</v>
      </c>
      <c r="H527" s="167">
        <v>44480</v>
      </c>
      <c r="I527" s="194">
        <v>44491</v>
      </c>
      <c r="J527" s="167">
        <f>WORKDAY(H527,10)</f>
        <v>44494</v>
      </c>
      <c r="K527" s="194"/>
      <c r="L527" s="176"/>
      <c r="M527" s="176"/>
      <c r="N527" s="176"/>
      <c r="O527" s="176"/>
      <c r="P527" s="176"/>
      <c r="Q527" s="81" t="s">
        <v>106</v>
      </c>
      <c r="R527" s="81" t="s">
        <v>1212</v>
      </c>
      <c r="S527" s="472">
        <f t="shared" si="233"/>
        <v>29</v>
      </c>
      <c r="T527" s="472"/>
      <c r="U527" s="472">
        <v>29</v>
      </c>
      <c r="V527" s="472">
        <v>0</v>
      </c>
      <c r="W527" s="485" t="s">
        <v>1227</v>
      </c>
      <c r="X527" s="472"/>
      <c r="Y527" s="472"/>
      <c r="Z527" s="472" t="s">
        <v>52</v>
      </c>
      <c r="AA527" s="472"/>
      <c r="AB527" s="472"/>
      <c r="AC527" s="472"/>
      <c r="AD527" s="485"/>
      <c r="AE527" s="194"/>
      <c r="AF527" s="176"/>
      <c r="AG527" s="472" t="s">
        <v>85</v>
      </c>
      <c r="AH527" s="485"/>
      <c r="AI527" s="485"/>
      <c r="AJ527" s="472"/>
      <c r="AK527" s="472"/>
      <c r="AL527" s="472" t="s">
        <v>57</v>
      </c>
      <c r="AM527" s="472"/>
      <c r="AN527" s="472"/>
      <c r="AO527" s="82"/>
      <c r="AP527" s="82"/>
      <c r="AR527" s="135">
        <f>COUNTIF(B:B,B527)</f>
        <v>1</v>
      </c>
      <c r="AS527" s="135" t="str">
        <f t="shared" si="201"/>
        <v>2021_10_11_a</v>
      </c>
      <c r="AT527" s="136"/>
      <c r="AU527" s="135" t="str">
        <f t="shared" si="202"/>
        <v>2021</v>
      </c>
      <c r="AV527" s="135" t="str">
        <f t="shared" si="203"/>
        <v>10</v>
      </c>
      <c r="AW527" s="135" t="str">
        <f t="shared" si="204"/>
        <v>11</v>
      </c>
      <c r="AX527" s="135">
        <f t="shared" si="205"/>
        <v>44480</v>
      </c>
      <c r="AY527" s="137"/>
      <c r="AZ527" s="138">
        <f t="shared" si="206"/>
        <v>44480</v>
      </c>
      <c r="BA527" s="135" t="b">
        <f t="shared" si="207"/>
        <v>1</v>
      </c>
      <c r="BB527" s="135">
        <f t="shared" si="208"/>
        <v>44480</v>
      </c>
      <c r="BC527" s="135" t="str">
        <f t="shared" si="209"/>
        <v>no</v>
      </c>
      <c r="BD527" s="135" t="b">
        <f t="shared" si="210"/>
        <v>0</v>
      </c>
      <c r="BE527" s="139" t="s">
        <v>59</v>
      </c>
      <c r="BF527" s="136"/>
    </row>
    <row r="528" spans="1:59" s="276" customFormat="1" ht="154">
      <c r="A528" s="81"/>
      <c r="B528" s="81" t="s">
        <v>1240</v>
      </c>
      <c r="C528" s="472"/>
      <c r="D528" s="472">
        <v>10284185</v>
      </c>
      <c r="E528" s="472"/>
      <c r="F528" s="471" t="s">
        <v>1203</v>
      </c>
      <c r="G528" s="277">
        <v>44291</v>
      </c>
      <c r="H528" s="167">
        <v>44291</v>
      </c>
      <c r="I528" s="194"/>
      <c r="J528" s="167">
        <v>44305</v>
      </c>
      <c r="K528" s="194"/>
      <c r="L528" s="176"/>
      <c r="M528" s="176"/>
      <c r="N528" s="176"/>
      <c r="O528" s="176"/>
      <c r="P528" s="176"/>
      <c r="Q528" s="81" t="s">
        <v>106</v>
      </c>
      <c r="R528" s="81" t="s">
        <v>1212</v>
      </c>
      <c r="S528" s="472">
        <f t="shared" si="233"/>
        <v>2</v>
      </c>
      <c r="T528" s="472"/>
      <c r="U528" s="472">
        <v>2</v>
      </c>
      <c r="V528" s="472">
        <v>0</v>
      </c>
      <c r="W528" s="472"/>
      <c r="X528" s="472"/>
      <c r="Y528" s="472"/>
      <c r="Z528" s="472" t="s">
        <v>52</v>
      </c>
      <c r="AA528" s="472"/>
      <c r="AB528" s="472"/>
      <c r="AC528" s="472"/>
      <c r="AD528" s="485"/>
      <c r="AE528" s="194"/>
      <c r="AF528" s="176"/>
      <c r="AG528" s="472" t="s">
        <v>85</v>
      </c>
      <c r="AH528" s="485"/>
      <c r="AI528" s="485"/>
      <c r="AJ528" s="472"/>
      <c r="AK528" s="472"/>
      <c r="AL528" s="472" t="s">
        <v>372</v>
      </c>
      <c r="AM528" s="472"/>
      <c r="AN528" s="472"/>
      <c r="AO528" s="82"/>
      <c r="AP528" s="82"/>
      <c r="AR528" s="135">
        <f>COUNTIF(B:B,B528)</f>
        <v>1</v>
      </c>
      <c r="AS528" s="135" t="str">
        <f t="shared" si="201"/>
        <v>2021_04_05_a</v>
      </c>
      <c r="AT528" s="136"/>
      <c r="AU528" s="135" t="str">
        <f t="shared" si="202"/>
        <v>2021</v>
      </c>
      <c r="AV528" s="135" t="str">
        <f t="shared" si="203"/>
        <v>04</v>
      </c>
      <c r="AW528" s="135" t="str">
        <f t="shared" si="204"/>
        <v>05</v>
      </c>
      <c r="AX528" s="135">
        <f t="shared" si="205"/>
        <v>44291</v>
      </c>
      <c r="AY528" s="137"/>
      <c r="AZ528" s="138">
        <f t="shared" si="206"/>
        <v>44291</v>
      </c>
      <c r="BA528" s="135" t="b">
        <f t="shared" si="207"/>
        <v>1</v>
      </c>
      <c r="BB528" s="135">
        <f t="shared" si="208"/>
        <v>44291</v>
      </c>
      <c r="BC528" s="135" t="str">
        <f t="shared" si="209"/>
        <v>no</v>
      </c>
      <c r="BD528" s="135" t="b">
        <f t="shared" si="210"/>
        <v>0</v>
      </c>
      <c r="BE528" s="139" t="s">
        <v>59</v>
      </c>
      <c r="BF528" s="136"/>
    </row>
    <row r="529" spans="1:59" s="276" customFormat="1" ht="154">
      <c r="A529" s="81"/>
      <c r="B529" s="81" t="s">
        <v>1241</v>
      </c>
      <c r="C529" s="472"/>
      <c r="D529" s="472">
        <v>10225112</v>
      </c>
      <c r="E529" s="472"/>
      <c r="F529" s="471" t="s">
        <v>1203</v>
      </c>
      <c r="G529" s="277">
        <v>44470</v>
      </c>
      <c r="H529" s="167">
        <v>44480</v>
      </c>
      <c r="I529" s="194"/>
      <c r="J529" s="167">
        <v>44494</v>
      </c>
      <c r="K529" s="194"/>
      <c r="L529" s="176"/>
      <c r="M529" s="176"/>
      <c r="N529" s="176"/>
      <c r="O529" s="176"/>
      <c r="P529" s="176"/>
      <c r="Q529" s="81" t="s">
        <v>106</v>
      </c>
      <c r="R529" s="81" t="s">
        <v>1242</v>
      </c>
      <c r="S529" s="472">
        <f t="shared" si="233"/>
        <v>1</v>
      </c>
      <c r="T529" s="472"/>
      <c r="U529" s="472">
        <v>1</v>
      </c>
      <c r="V529" s="472">
        <v>0</v>
      </c>
      <c r="W529" s="472"/>
      <c r="X529" s="472"/>
      <c r="Y529" s="472"/>
      <c r="Z529" s="472" t="s">
        <v>52</v>
      </c>
      <c r="AA529" s="472"/>
      <c r="AB529" s="472"/>
      <c r="AC529" s="472"/>
      <c r="AD529" s="485"/>
      <c r="AE529" s="194"/>
      <c r="AF529" s="176"/>
      <c r="AG529" s="472" t="s">
        <v>85</v>
      </c>
      <c r="AH529" s="485"/>
      <c r="AI529" s="485"/>
      <c r="AJ529" s="472"/>
      <c r="AK529" s="472"/>
      <c r="AL529" s="472" t="s">
        <v>372</v>
      </c>
      <c r="AM529" s="472"/>
      <c r="AN529" s="472"/>
      <c r="AO529" s="82"/>
      <c r="AP529" s="82"/>
      <c r="AR529" s="135">
        <f>COUNTIF(B:B,B529)</f>
        <v>1</v>
      </c>
      <c r="AS529" s="135" t="str">
        <f t="shared" si="201"/>
        <v>2021_10_11_a</v>
      </c>
      <c r="AT529" s="136"/>
      <c r="AU529" s="135" t="str">
        <f t="shared" si="202"/>
        <v>2021</v>
      </c>
      <c r="AV529" s="135" t="str">
        <f t="shared" si="203"/>
        <v>10</v>
      </c>
      <c r="AW529" s="135" t="str">
        <f t="shared" si="204"/>
        <v>11</v>
      </c>
      <c r="AX529" s="135">
        <f t="shared" si="205"/>
        <v>44480</v>
      </c>
      <c r="AY529" s="137"/>
      <c r="AZ529" s="138">
        <f t="shared" si="206"/>
        <v>44480</v>
      </c>
      <c r="BA529" s="135" t="b">
        <f t="shared" si="207"/>
        <v>1</v>
      </c>
      <c r="BB529" s="135">
        <f t="shared" si="208"/>
        <v>44480</v>
      </c>
      <c r="BC529" s="135" t="str">
        <f t="shared" si="209"/>
        <v>no</v>
      </c>
      <c r="BD529" s="135" t="b">
        <f t="shared" si="210"/>
        <v>0</v>
      </c>
      <c r="BE529" s="139" t="s">
        <v>59</v>
      </c>
      <c r="BF529" s="136"/>
    </row>
    <row r="530" spans="1:59" s="276" customFormat="1" ht="154">
      <c r="A530" s="81"/>
      <c r="B530" s="81" t="s">
        <v>1243</v>
      </c>
      <c r="C530" s="472"/>
      <c r="D530" s="472">
        <v>10230978</v>
      </c>
      <c r="E530" s="472"/>
      <c r="F530" s="471" t="s">
        <v>1203</v>
      </c>
      <c r="G530" s="277">
        <v>44525</v>
      </c>
      <c r="H530" s="167">
        <v>44526</v>
      </c>
      <c r="I530" s="194"/>
      <c r="J530" s="167">
        <v>44540</v>
      </c>
      <c r="K530" s="194"/>
      <c r="L530" s="176"/>
      <c r="M530" s="176"/>
      <c r="N530" s="176"/>
      <c r="O530" s="176"/>
      <c r="P530" s="176"/>
      <c r="Q530" s="81" t="s">
        <v>106</v>
      </c>
      <c r="R530" s="81" t="s">
        <v>1230</v>
      </c>
      <c r="S530" s="472">
        <f t="shared" si="233"/>
        <v>13</v>
      </c>
      <c r="T530" s="472"/>
      <c r="U530" s="472">
        <v>13</v>
      </c>
      <c r="V530" s="472">
        <v>0</v>
      </c>
      <c r="W530" s="472"/>
      <c r="X530" s="472"/>
      <c r="Y530" s="472"/>
      <c r="Z530" s="472" t="s">
        <v>52</v>
      </c>
      <c r="AA530" s="472"/>
      <c r="AB530" s="472"/>
      <c r="AC530" s="472"/>
      <c r="AD530" s="485"/>
      <c r="AE530" s="194"/>
      <c r="AF530" s="176"/>
      <c r="AG530" s="472" t="s">
        <v>85</v>
      </c>
      <c r="AH530" s="485"/>
      <c r="AI530" s="485"/>
      <c r="AJ530" s="472"/>
      <c r="AK530" s="472"/>
      <c r="AL530" s="472" t="s">
        <v>372</v>
      </c>
      <c r="AM530" s="472"/>
      <c r="AN530" s="82"/>
      <c r="AO530" s="82"/>
      <c r="AP530" s="82"/>
      <c r="AR530" s="135">
        <f>COUNTIF(B:B,B530)</f>
        <v>1</v>
      </c>
      <c r="AS530" s="135" t="str">
        <f t="shared" si="201"/>
        <v>2021_11_26_a</v>
      </c>
      <c r="AT530" s="136"/>
      <c r="AU530" s="135" t="str">
        <f t="shared" si="202"/>
        <v>2021</v>
      </c>
      <c r="AV530" s="135" t="str">
        <f t="shared" si="203"/>
        <v>11</v>
      </c>
      <c r="AW530" s="135" t="str">
        <f t="shared" si="204"/>
        <v>26</v>
      </c>
      <c r="AX530" s="135">
        <f t="shared" si="205"/>
        <v>44526</v>
      </c>
      <c r="AY530" s="137"/>
      <c r="AZ530" s="138">
        <f t="shared" si="206"/>
        <v>44526</v>
      </c>
      <c r="BA530" s="135" t="b">
        <f t="shared" si="207"/>
        <v>1</v>
      </c>
      <c r="BB530" s="135">
        <f t="shared" si="208"/>
        <v>44526</v>
      </c>
      <c r="BC530" s="135" t="str">
        <f t="shared" si="209"/>
        <v>no</v>
      </c>
      <c r="BD530" s="135" t="b">
        <f t="shared" si="210"/>
        <v>0</v>
      </c>
      <c r="BE530" s="139" t="s">
        <v>59</v>
      </c>
      <c r="BF530" s="136"/>
    </row>
    <row r="531" spans="1:59" s="276" customFormat="1" ht="154">
      <c r="A531" s="81"/>
      <c r="B531" s="81" t="s">
        <v>1244</v>
      </c>
      <c r="C531" s="472"/>
      <c r="D531" s="472">
        <v>10243145</v>
      </c>
      <c r="E531" s="472"/>
      <c r="F531" s="471" t="s">
        <v>1203</v>
      </c>
      <c r="G531" s="132">
        <v>44607</v>
      </c>
      <c r="H531" s="167">
        <v>44609</v>
      </c>
      <c r="I531" s="194"/>
      <c r="J531" s="167">
        <v>44623</v>
      </c>
      <c r="K531" s="194"/>
      <c r="L531" s="176"/>
      <c r="M531" s="176"/>
      <c r="N531" s="176"/>
      <c r="O531" s="176"/>
      <c r="P531" s="176"/>
      <c r="Q531" s="81" t="s">
        <v>49</v>
      </c>
      <c r="R531" s="81" t="s">
        <v>1226</v>
      </c>
      <c r="S531" s="472">
        <f t="shared" si="233"/>
        <v>10</v>
      </c>
      <c r="T531" s="472"/>
      <c r="U531" s="472">
        <v>10</v>
      </c>
      <c r="V531" s="472">
        <v>0</v>
      </c>
      <c r="W531" s="472"/>
      <c r="X531" s="472"/>
      <c r="Y531" s="472"/>
      <c r="Z531" s="472" t="s">
        <v>53</v>
      </c>
      <c r="AA531" s="472"/>
      <c r="AB531" s="472"/>
      <c r="AC531" s="472"/>
      <c r="AD531" s="485"/>
      <c r="AE531" s="194"/>
      <c r="AF531" s="176"/>
      <c r="AG531" s="472" t="s">
        <v>85</v>
      </c>
      <c r="AH531" s="485"/>
      <c r="AI531" s="485"/>
      <c r="AJ531" s="472"/>
      <c r="AK531" s="472"/>
      <c r="AL531" s="472" t="s">
        <v>57</v>
      </c>
      <c r="AM531" s="472"/>
      <c r="AN531" s="82"/>
      <c r="AO531" s="82"/>
      <c r="AP531" s="82"/>
      <c r="AR531" s="135">
        <f>COUNTIF(B:B,B531)</f>
        <v>1</v>
      </c>
      <c r="AS531" s="135" t="str">
        <f t="shared" si="201"/>
        <v>2022_02_17_a</v>
      </c>
      <c r="AT531" s="136"/>
      <c r="AU531" s="135" t="str">
        <f t="shared" si="202"/>
        <v>2022</v>
      </c>
      <c r="AV531" s="135" t="str">
        <f t="shared" si="203"/>
        <v>02</v>
      </c>
      <c r="AW531" s="135" t="str">
        <f t="shared" si="204"/>
        <v>17</v>
      </c>
      <c r="AX531" s="135">
        <f t="shared" si="205"/>
        <v>44609</v>
      </c>
      <c r="AY531" s="137"/>
      <c r="AZ531" s="138">
        <f t="shared" si="206"/>
        <v>44609</v>
      </c>
      <c r="BA531" s="135" t="b">
        <f t="shared" si="207"/>
        <v>1</v>
      </c>
      <c r="BB531" s="135">
        <f t="shared" si="208"/>
        <v>44609</v>
      </c>
      <c r="BC531" s="135" t="str">
        <f t="shared" si="209"/>
        <v>no</v>
      </c>
      <c r="BD531" s="135" t="b">
        <f t="shared" si="210"/>
        <v>0</v>
      </c>
      <c r="BE531" s="139" t="s">
        <v>59</v>
      </c>
      <c r="BF531" s="136"/>
    </row>
    <row r="532" spans="1:59" s="276" customFormat="1" ht="154">
      <c r="A532" s="81"/>
      <c r="B532" s="81" t="s">
        <v>1245</v>
      </c>
      <c r="C532" s="472"/>
      <c r="D532" s="276">
        <v>10243481</v>
      </c>
      <c r="E532" s="472"/>
      <c r="F532" s="471" t="s">
        <v>1203</v>
      </c>
      <c r="G532" s="132">
        <v>44621</v>
      </c>
      <c r="H532" s="167">
        <v>44621</v>
      </c>
      <c r="I532" s="194"/>
      <c r="J532" s="167">
        <v>44635</v>
      </c>
      <c r="K532" s="194"/>
      <c r="L532" s="176"/>
      <c r="M532" s="176"/>
      <c r="N532" s="176"/>
      <c r="O532" s="176"/>
      <c r="P532" s="176"/>
      <c r="Q532" s="81" t="s">
        <v>49</v>
      </c>
      <c r="R532" s="81" t="s">
        <v>1212</v>
      </c>
      <c r="S532" s="472">
        <f t="shared" si="233"/>
        <v>37</v>
      </c>
      <c r="T532" s="472"/>
      <c r="U532" s="472">
        <v>37</v>
      </c>
      <c r="V532" s="472">
        <v>0</v>
      </c>
      <c r="W532" s="472"/>
      <c r="X532" s="472"/>
      <c r="Y532" s="472"/>
      <c r="Z532" s="472" t="s">
        <v>53</v>
      </c>
      <c r="AA532" s="472"/>
      <c r="AB532" s="472"/>
      <c r="AC532" s="472"/>
      <c r="AD532" s="485"/>
      <c r="AE532" s="194"/>
      <c r="AF532" s="176"/>
      <c r="AG532" s="472" t="s">
        <v>85</v>
      </c>
      <c r="AH532" s="485"/>
      <c r="AI532" s="485"/>
      <c r="AJ532" s="472"/>
      <c r="AK532" s="472"/>
      <c r="AL532" s="472" t="s">
        <v>57</v>
      </c>
      <c r="AM532" s="472"/>
      <c r="AN532" s="82"/>
      <c r="AO532" s="82"/>
      <c r="AP532" s="82"/>
      <c r="AR532" s="135">
        <f>COUNTIF(B:B,B532)</f>
        <v>1</v>
      </c>
      <c r="AS532" s="135" t="str">
        <f t="shared" si="201"/>
        <v>2022_03_01_a</v>
      </c>
      <c r="AT532" s="136"/>
      <c r="AU532" s="135" t="str">
        <f t="shared" si="202"/>
        <v>2022</v>
      </c>
      <c r="AV532" s="135" t="str">
        <f t="shared" si="203"/>
        <v>03</v>
      </c>
      <c r="AW532" s="135" t="str">
        <f t="shared" si="204"/>
        <v>01</v>
      </c>
      <c r="AX532" s="135">
        <f t="shared" si="205"/>
        <v>44621</v>
      </c>
      <c r="AY532" s="137"/>
      <c r="AZ532" s="138">
        <f t="shared" si="206"/>
        <v>44621</v>
      </c>
      <c r="BA532" s="135" t="b">
        <f t="shared" si="207"/>
        <v>1</v>
      </c>
      <c r="BB532" s="135">
        <f t="shared" si="208"/>
        <v>44621</v>
      </c>
      <c r="BC532" s="135" t="str">
        <f t="shared" si="209"/>
        <v>no</v>
      </c>
      <c r="BD532" s="135" t="b">
        <f t="shared" si="210"/>
        <v>0</v>
      </c>
      <c r="BE532" s="139" t="s">
        <v>59</v>
      </c>
      <c r="BF532" s="136"/>
    </row>
    <row r="533" spans="1:59" s="12" customFormat="1" ht="154">
      <c r="A533" s="485"/>
      <c r="B533" s="81" t="s">
        <v>1246</v>
      </c>
      <c r="C533" s="485"/>
      <c r="D533" s="279">
        <v>10259807</v>
      </c>
      <c r="E533" s="485"/>
      <c r="F533" s="162" t="s">
        <v>1203</v>
      </c>
      <c r="G533" s="125">
        <v>44692</v>
      </c>
      <c r="H533" s="96">
        <v>44692</v>
      </c>
      <c r="I533" s="23"/>
      <c r="J533" s="96">
        <f>H533+14</f>
        <v>44706</v>
      </c>
      <c r="K533" s="23"/>
      <c r="L533" s="23"/>
      <c r="M533" s="23"/>
      <c r="N533" s="23"/>
      <c r="O533" s="23"/>
      <c r="P533" s="23"/>
      <c r="Q533" s="81" t="s">
        <v>82</v>
      </c>
      <c r="R533" s="81" t="s">
        <v>1230</v>
      </c>
      <c r="S533" s="485">
        <f t="shared" ref="S533:S542" si="234">U533+V533</f>
        <v>20</v>
      </c>
      <c r="T533" s="485"/>
      <c r="U533" s="23">
        <v>20</v>
      </c>
      <c r="V533" s="472">
        <v>0</v>
      </c>
      <c r="W533" s="485"/>
      <c r="X533" s="485"/>
      <c r="Y533" s="485"/>
      <c r="Z533" s="485"/>
      <c r="AA533" s="485"/>
      <c r="AB533" s="485"/>
      <c r="AC533" s="485"/>
      <c r="AD533" s="485"/>
      <c r="AE533" s="485"/>
      <c r="AF533" s="485"/>
      <c r="AG533" s="485" t="s">
        <v>85</v>
      </c>
      <c r="AH533" s="485"/>
      <c r="AI533" s="485"/>
      <c r="AJ533" s="485"/>
      <c r="AK533" s="485"/>
      <c r="AL533" s="95" t="s">
        <v>57</v>
      </c>
      <c r="AM533" s="485"/>
      <c r="AN533" s="485"/>
      <c r="AO533" s="485"/>
      <c r="AP533" s="485"/>
      <c r="AQ533" s="485"/>
      <c r="AR533" s="135">
        <f>COUNTIF(B:B,B533)</f>
        <v>1</v>
      </c>
      <c r="AS533" s="135" t="str">
        <f t="shared" si="201"/>
        <v>2022_05_11_a</v>
      </c>
      <c r="AT533" s="136"/>
      <c r="AU533" s="135" t="str">
        <f t="shared" si="202"/>
        <v>2022</v>
      </c>
      <c r="AV533" s="135" t="str">
        <f t="shared" si="203"/>
        <v>05</v>
      </c>
      <c r="AW533" s="135" t="str">
        <f t="shared" si="204"/>
        <v>11</v>
      </c>
      <c r="AX533" s="135">
        <f t="shared" si="205"/>
        <v>44692</v>
      </c>
      <c r="AY533" s="137"/>
      <c r="AZ533" s="138">
        <f t="shared" si="206"/>
        <v>44692</v>
      </c>
      <c r="BA533" s="135" t="b">
        <f t="shared" si="207"/>
        <v>1</v>
      </c>
      <c r="BB533" s="135">
        <f t="shared" si="208"/>
        <v>44692</v>
      </c>
      <c r="BC533" s="135" t="str">
        <f t="shared" si="209"/>
        <v>no</v>
      </c>
      <c r="BD533" s="135" t="b">
        <f t="shared" si="210"/>
        <v>0</v>
      </c>
      <c r="BE533" s="139" t="s">
        <v>59</v>
      </c>
      <c r="BF533" s="136"/>
      <c r="BG533" s="485"/>
    </row>
    <row r="534" spans="1:59" s="12" customFormat="1" ht="154">
      <c r="A534" s="485"/>
      <c r="B534" s="81" t="s">
        <v>1247</v>
      </c>
      <c r="C534" s="485"/>
      <c r="D534" s="485">
        <v>10275249</v>
      </c>
      <c r="E534" s="485"/>
      <c r="F534" s="23" t="s">
        <v>1203</v>
      </c>
      <c r="G534" s="125">
        <v>44743</v>
      </c>
      <c r="H534" s="96">
        <v>44746</v>
      </c>
      <c r="I534" s="23"/>
      <c r="J534" s="96">
        <v>44760</v>
      </c>
      <c r="K534" s="23"/>
      <c r="L534" s="23"/>
      <c r="M534" s="23"/>
      <c r="N534" s="23"/>
      <c r="O534" s="23"/>
      <c r="P534" s="23"/>
      <c r="Q534" s="485" t="s">
        <v>93</v>
      </c>
      <c r="R534" s="81" t="s">
        <v>1226</v>
      </c>
      <c r="S534" s="485">
        <f t="shared" si="234"/>
        <v>13</v>
      </c>
      <c r="T534" s="485"/>
      <c r="U534" s="23">
        <v>13</v>
      </c>
      <c r="V534" s="82">
        <v>0</v>
      </c>
      <c r="W534" s="485"/>
      <c r="X534" s="485"/>
      <c r="Y534" s="485"/>
      <c r="Z534" s="485" t="s">
        <v>53</v>
      </c>
      <c r="AA534" s="485"/>
      <c r="AB534" s="485"/>
      <c r="AC534" s="485"/>
      <c r="AD534" s="485"/>
      <c r="AE534" s="485"/>
      <c r="AF534" s="485"/>
      <c r="AG534" s="485" t="s">
        <v>85</v>
      </c>
      <c r="AH534" s="485"/>
      <c r="AI534" s="485"/>
      <c r="AJ534" s="485"/>
      <c r="AK534" s="485"/>
      <c r="AL534" s="95" t="s">
        <v>57</v>
      </c>
      <c r="AM534" s="485"/>
      <c r="AN534" s="485"/>
      <c r="AO534" s="485"/>
      <c r="AP534" s="485"/>
      <c r="AQ534" s="485"/>
      <c r="AR534" s="135">
        <f>COUNTIF(B:B,B534)</f>
        <v>1</v>
      </c>
      <c r="AS534" s="135" t="str">
        <f t="shared" si="201"/>
        <v>2022_07_04_a</v>
      </c>
      <c r="AT534" s="136"/>
      <c r="AU534" s="135" t="str">
        <f t="shared" si="202"/>
        <v>2022</v>
      </c>
      <c r="AV534" s="135" t="str">
        <f t="shared" si="203"/>
        <v>07</v>
      </c>
      <c r="AW534" s="135" t="str">
        <f t="shared" si="204"/>
        <v>04</v>
      </c>
      <c r="AX534" s="135">
        <f t="shared" si="205"/>
        <v>44746</v>
      </c>
      <c r="AY534" s="137"/>
      <c r="AZ534" s="138">
        <f t="shared" si="206"/>
        <v>44746</v>
      </c>
      <c r="BA534" s="135" t="b">
        <f t="shared" si="207"/>
        <v>1</v>
      </c>
      <c r="BB534" s="135">
        <f t="shared" si="208"/>
        <v>44746</v>
      </c>
      <c r="BC534" s="135" t="str">
        <f t="shared" si="209"/>
        <v>no</v>
      </c>
      <c r="BD534" s="135" t="b">
        <f t="shared" si="210"/>
        <v>0</v>
      </c>
      <c r="BE534" s="139" t="s">
        <v>59</v>
      </c>
      <c r="BF534" s="485"/>
      <c r="BG534" s="485"/>
    </row>
    <row r="535" spans="1:59" s="12" customFormat="1" ht="154">
      <c r="A535" s="485"/>
      <c r="B535" s="81" t="s">
        <v>1248</v>
      </c>
      <c r="C535" s="485"/>
      <c r="D535" s="485">
        <v>10284185</v>
      </c>
      <c r="E535" s="485"/>
      <c r="F535" s="23" t="s">
        <v>1203</v>
      </c>
      <c r="G535" s="278">
        <v>44750</v>
      </c>
      <c r="H535" s="96">
        <v>44753</v>
      </c>
      <c r="I535" s="23"/>
      <c r="J535" s="96">
        <v>44767</v>
      </c>
      <c r="K535" s="23"/>
      <c r="L535" s="23"/>
      <c r="M535" s="23"/>
      <c r="N535" s="23"/>
      <c r="O535" s="23"/>
      <c r="P535" s="23"/>
      <c r="Q535" s="485" t="s">
        <v>93</v>
      </c>
      <c r="R535" s="81" t="s">
        <v>1212</v>
      </c>
      <c r="S535" s="485">
        <f t="shared" si="234"/>
        <v>38</v>
      </c>
      <c r="T535" s="485"/>
      <c r="U535" s="23">
        <v>38</v>
      </c>
      <c r="V535" s="82">
        <v>0</v>
      </c>
      <c r="W535" s="485"/>
      <c r="X535" s="485"/>
      <c r="Y535" s="485"/>
      <c r="Z535" s="485" t="s">
        <v>53</v>
      </c>
      <c r="AA535" s="485"/>
      <c r="AB535" s="485"/>
      <c r="AC535" s="485"/>
      <c r="AD535" s="485"/>
      <c r="AE535" s="485"/>
      <c r="AF535" s="485"/>
      <c r="AG535" s="485" t="s">
        <v>85</v>
      </c>
      <c r="AH535" s="485"/>
      <c r="AI535" s="485"/>
      <c r="AJ535" s="485"/>
      <c r="AK535" s="485"/>
      <c r="AL535" s="95" t="s">
        <v>57</v>
      </c>
      <c r="AM535" s="485"/>
      <c r="AN535" s="485"/>
      <c r="AO535" s="485"/>
      <c r="AP535" s="485"/>
      <c r="AQ535" s="485"/>
      <c r="AR535" s="135">
        <f>COUNTIF(B:B,B535)</f>
        <v>1</v>
      </c>
      <c r="AS535" s="135" t="str">
        <f t="shared" si="201"/>
        <v>2022_07_11_a</v>
      </c>
      <c r="AT535" s="136"/>
      <c r="AU535" s="135" t="str">
        <f t="shared" si="202"/>
        <v>2022</v>
      </c>
      <c r="AV535" s="135" t="str">
        <f t="shared" si="203"/>
        <v>07</v>
      </c>
      <c r="AW535" s="135" t="str">
        <f t="shared" si="204"/>
        <v>11</v>
      </c>
      <c r="AX535" s="135">
        <f t="shared" si="205"/>
        <v>44753</v>
      </c>
      <c r="AY535" s="137"/>
      <c r="AZ535" s="138">
        <f t="shared" si="206"/>
        <v>44753</v>
      </c>
      <c r="BA535" s="135" t="b">
        <f t="shared" si="207"/>
        <v>1</v>
      </c>
      <c r="BB535" s="135">
        <f t="shared" si="208"/>
        <v>44753</v>
      </c>
      <c r="BC535" s="135" t="str">
        <f t="shared" si="209"/>
        <v>no</v>
      </c>
      <c r="BD535" s="135" t="b">
        <f t="shared" si="210"/>
        <v>0</v>
      </c>
      <c r="BE535" s="139" t="s">
        <v>59</v>
      </c>
      <c r="BF535" s="485"/>
      <c r="BG535" s="485"/>
    </row>
    <row r="536" spans="1:59" s="12" customFormat="1" ht="154">
      <c r="A536" s="485"/>
      <c r="B536" s="81" t="s">
        <v>1249</v>
      </c>
      <c r="C536" s="485"/>
      <c r="D536" s="280">
        <v>10290646</v>
      </c>
      <c r="E536" s="485"/>
      <c r="F536" s="23" t="s">
        <v>1203</v>
      </c>
      <c r="G536" s="125">
        <v>44764</v>
      </c>
      <c r="H536" s="96">
        <v>44769</v>
      </c>
      <c r="I536" s="124">
        <v>44778</v>
      </c>
      <c r="J536" s="96"/>
      <c r="K536" s="23"/>
      <c r="L536" s="23"/>
      <c r="M536" s="23"/>
      <c r="N536" s="23"/>
      <c r="O536" s="23"/>
      <c r="P536" s="23"/>
      <c r="Q536" s="485"/>
      <c r="R536" s="485" t="s">
        <v>1221</v>
      </c>
      <c r="S536" s="485">
        <f t="shared" si="234"/>
        <v>14</v>
      </c>
      <c r="T536" s="485"/>
      <c r="U536" s="23">
        <v>14</v>
      </c>
      <c r="V536" s="82">
        <v>0</v>
      </c>
      <c r="W536" s="485"/>
      <c r="X536" s="485"/>
      <c r="Y536" s="485"/>
      <c r="Z536" s="485" t="s">
        <v>53</v>
      </c>
      <c r="AA536" s="485"/>
      <c r="AB536" s="485"/>
      <c r="AC536" s="485"/>
      <c r="AD536" s="485"/>
      <c r="AE536" s="485"/>
      <c r="AF536" s="485"/>
      <c r="AG536" s="485" t="s">
        <v>85</v>
      </c>
      <c r="AH536" s="485"/>
      <c r="AI536" s="485"/>
      <c r="AJ536" s="485"/>
      <c r="AK536" s="485"/>
      <c r="AL536" s="95" t="s">
        <v>57</v>
      </c>
      <c r="AM536" s="485"/>
      <c r="AN536" s="485"/>
      <c r="AO536" s="485"/>
      <c r="AP536" s="485"/>
      <c r="AQ536" s="485"/>
      <c r="AR536" s="135">
        <f>COUNTIF(B:B,B536)</f>
        <v>1</v>
      </c>
      <c r="AS536" s="135" t="str">
        <f t="shared" si="201"/>
        <v>2022_07_27_a</v>
      </c>
      <c r="AT536" s="136"/>
      <c r="AU536" s="135" t="str">
        <f t="shared" si="202"/>
        <v>2022</v>
      </c>
      <c r="AV536" s="135" t="str">
        <f t="shared" si="203"/>
        <v>07</v>
      </c>
      <c r="AW536" s="135" t="str">
        <f t="shared" si="204"/>
        <v>27</v>
      </c>
      <c r="AX536" s="135">
        <f t="shared" si="205"/>
        <v>44769</v>
      </c>
      <c r="AY536" s="137"/>
      <c r="AZ536" s="138">
        <f t="shared" si="206"/>
        <v>44769</v>
      </c>
      <c r="BA536" s="135" t="b">
        <f t="shared" si="207"/>
        <v>1</v>
      </c>
      <c r="BB536" s="135">
        <f t="shared" si="208"/>
        <v>44769</v>
      </c>
      <c r="BC536" s="135" t="str">
        <f t="shared" si="209"/>
        <v>no</v>
      </c>
      <c r="BD536" s="135" t="b">
        <f t="shared" si="210"/>
        <v>0</v>
      </c>
      <c r="BE536" s="139" t="s">
        <v>59</v>
      </c>
      <c r="BF536" s="485"/>
      <c r="BG536" s="485"/>
    </row>
    <row r="537" spans="1:59" s="12" customFormat="1" ht="154">
      <c r="A537" s="485"/>
      <c r="B537" s="485" t="s">
        <v>1250</v>
      </c>
      <c r="C537" s="485"/>
      <c r="D537" s="485">
        <v>10297084</v>
      </c>
      <c r="E537" s="485"/>
      <c r="F537" s="23" t="s">
        <v>1203</v>
      </c>
      <c r="G537" s="125">
        <v>44795</v>
      </c>
      <c r="H537" s="96">
        <v>44797</v>
      </c>
      <c r="I537" s="124">
        <v>44809</v>
      </c>
      <c r="J537" s="96"/>
      <c r="K537" s="23"/>
      <c r="L537" s="23"/>
      <c r="M537" s="23"/>
      <c r="N537" s="23"/>
      <c r="O537" s="23"/>
      <c r="P537" s="23"/>
      <c r="Q537" s="485"/>
      <c r="R537" s="485" t="s">
        <v>1221</v>
      </c>
      <c r="S537" s="485">
        <f t="shared" si="234"/>
        <v>9</v>
      </c>
      <c r="T537" s="485"/>
      <c r="U537" s="23">
        <v>9</v>
      </c>
      <c r="V537" s="82">
        <v>0</v>
      </c>
      <c r="W537" s="485"/>
      <c r="X537" s="485"/>
      <c r="Y537" s="485"/>
      <c r="Z537" s="485" t="s">
        <v>53</v>
      </c>
      <c r="AA537" s="485"/>
      <c r="AB537" s="485"/>
      <c r="AC537" s="485"/>
      <c r="AD537" s="485"/>
      <c r="AE537" s="485"/>
      <c r="AF537" s="485"/>
      <c r="AG537" s="485" t="s">
        <v>85</v>
      </c>
      <c r="AH537" s="485"/>
      <c r="AI537" s="485"/>
      <c r="AJ537" s="485"/>
      <c r="AK537" s="485"/>
      <c r="AL537" s="95" t="s">
        <v>57</v>
      </c>
      <c r="AM537" s="485"/>
      <c r="AN537" s="485"/>
      <c r="AO537" s="485"/>
      <c r="AP537" s="485"/>
      <c r="AQ537" s="485"/>
      <c r="AR537" s="135">
        <f>COUNTIF(B:B,B537)</f>
        <v>1</v>
      </c>
      <c r="AS537" s="135" t="str">
        <f t="shared" ref="AS537:AS542" si="235">IFERROR(RIGHT(B537,16-SEARCH("_", B537)),0)</f>
        <v>2022_08_24_a</v>
      </c>
      <c r="AT537" s="136"/>
      <c r="AU537" s="135" t="str">
        <f t="shared" ref="AU537:AU542" si="236">LEFT(AS537,4)</f>
        <v>2022</v>
      </c>
      <c r="AV537" s="135" t="str">
        <f t="shared" ref="AV537:AV542" si="237">MID(AS537,6,2)</f>
        <v>08</v>
      </c>
      <c r="AW537" s="135" t="str">
        <f t="shared" ref="AW537:AW542" si="238">MID(AS537,9,2)</f>
        <v>24</v>
      </c>
      <c r="AX537" s="135">
        <f t="shared" ref="AX537:AX542" si="239">IFERROR(DATE(AU537,AV537,AW537)," ")</f>
        <v>44797</v>
      </c>
      <c r="AY537" s="137"/>
      <c r="AZ537" s="138">
        <f t="shared" ref="AZ537:AZ542" si="240">H537</f>
        <v>44797</v>
      </c>
      <c r="BA537" s="135" t="b">
        <f t="shared" ref="BA537:BA542" si="241">IF(AX537=" "," ",AX537=AZ537)</f>
        <v>1</v>
      </c>
      <c r="BB537" s="135">
        <f t="shared" ref="BB537:BB542" si="242">IF(BC537="YES"," ",AZ537)</f>
        <v>44797</v>
      </c>
      <c r="BC537" s="135" t="str">
        <f t="shared" ref="BC537:BC542" si="243">IF(AM537="Apprentice","yes","no")</f>
        <v>no</v>
      </c>
      <c r="BD537" s="135" t="b">
        <f t="shared" ref="BD537:BD542" si="244">IF(OR(U537&lt;&gt;"0", V537&lt;&gt;"0"),U537=V537," ")</f>
        <v>0</v>
      </c>
      <c r="BE537" s="139" t="s">
        <v>59</v>
      </c>
      <c r="BF537" s="485"/>
      <c r="BG537" s="485"/>
    </row>
    <row r="538" spans="1:59" ht="154">
      <c r="B538" s="81" t="s">
        <v>1251</v>
      </c>
      <c r="D538" s="359">
        <v>10299500</v>
      </c>
      <c r="F538" s="338" t="s">
        <v>1252</v>
      </c>
      <c r="G538" s="125">
        <v>44837</v>
      </c>
      <c r="H538" s="339">
        <v>44837</v>
      </c>
      <c r="I538" s="339">
        <v>44848</v>
      </c>
      <c r="R538" s="485" t="s">
        <v>1242</v>
      </c>
      <c r="S538" s="485">
        <f t="shared" si="234"/>
        <v>14</v>
      </c>
      <c r="U538" s="337">
        <v>14</v>
      </c>
      <c r="V538" s="340">
        <v>0</v>
      </c>
      <c r="Z538" s="338" t="s">
        <v>53</v>
      </c>
      <c r="AG538" s="338" t="s">
        <v>85</v>
      </c>
      <c r="AL538" s="341" t="s">
        <v>57</v>
      </c>
      <c r="AR538" s="135">
        <f>COUNTIF(B:B,B538)</f>
        <v>1</v>
      </c>
      <c r="AS538" s="135" t="str">
        <f t="shared" si="235"/>
        <v>2022_10_03_a</v>
      </c>
      <c r="AT538" s="136"/>
      <c r="AU538" s="135" t="str">
        <f t="shared" si="236"/>
        <v>2022</v>
      </c>
      <c r="AV538" s="135" t="str">
        <f t="shared" si="237"/>
        <v>10</v>
      </c>
      <c r="AW538" s="135" t="str">
        <f t="shared" si="238"/>
        <v>03</v>
      </c>
      <c r="AX538" s="135">
        <f t="shared" si="239"/>
        <v>44837</v>
      </c>
      <c r="AY538" s="137"/>
      <c r="AZ538" s="138">
        <f t="shared" si="240"/>
        <v>44837</v>
      </c>
      <c r="BA538" s="135" t="b">
        <f t="shared" si="241"/>
        <v>1</v>
      </c>
      <c r="BB538" s="135">
        <f t="shared" si="242"/>
        <v>44837</v>
      </c>
      <c r="BC538" s="135" t="str">
        <f t="shared" si="243"/>
        <v>no</v>
      </c>
      <c r="BD538" s="135" t="b">
        <f t="shared" si="244"/>
        <v>0</v>
      </c>
      <c r="BE538" s="139" t="s">
        <v>59</v>
      </c>
    </row>
    <row r="539" spans="1:59" ht="154">
      <c r="B539" s="485" t="s">
        <v>1253</v>
      </c>
      <c r="D539" s="389">
        <v>10319285</v>
      </c>
      <c r="F539" s="337" t="s">
        <v>1203</v>
      </c>
      <c r="G539" s="125">
        <v>44872</v>
      </c>
      <c r="H539" s="125">
        <v>44886</v>
      </c>
      <c r="I539" s="339">
        <v>44897</v>
      </c>
      <c r="R539" s="338" t="s">
        <v>1221</v>
      </c>
      <c r="S539" s="485">
        <f t="shared" si="234"/>
        <v>1</v>
      </c>
      <c r="U539" s="337">
        <v>1</v>
      </c>
      <c r="V539" s="340">
        <v>0</v>
      </c>
      <c r="Z539" s="338" t="s">
        <v>53</v>
      </c>
      <c r="AG539" s="338" t="s">
        <v>85</v>
      </c>
      <c r="AL539" s="341" t="s">
        <v>57</v>
      </c>
      <c r="AR539" s="135">
        <f>COUNTIF(B:B,B539)</f>
        <v>1</v>
      </c>
      <c r="AS539" s="135" t="str">
        <f t="shared" si="235"/>
        <v>2022_11_21_a</v>
      </c>
      <c r="AT539" s="136"/>
      <c r="AU539" s="135" t="str">
        <f t="shared" si="236"/>
        <v>2022</v>
      </c>
      <c r="AV539" s="135" t="str">
        <f t="shared" si="237"/>
        <v>11</v>
      </c>
      <c r="AW539" s="135" t="str">
        <f t="shared" si="238"/>
        <v>21</v>
      </c>
      <c r="AX539" s="135">
        <f t="shared" si="239"/>
        <v>44886</v>
      </c>
      <c r="AY539" s="137"/>
      <c r="AZ539" s="138">
        <f t="shared" si="240"/>
        <v>44886</v>
      </c>
      <c r="BA539" s="135" t="b">
        <f t="shared" si="241"/>
        <v>1</v>
      </c>
      <c r="BB539" s="135">
        <f t="shared" si="242"/>
        <v>44886</v>
      </c>
      <c r="BC539" s="135" t="str">
        <f t="shared" si="243"/>
        <v>no</v>
      </c>
      <c r="BD539" s="135" t="b">
        <f t="shared" si="244"/>
        <v>0</v>
      </c>
      <c r="BE539" s="139" t="s">
        <v>59</v>
      </c>
    </row>
    <row r="540" spans="1:59" ht="154">
      <c r="B540" s="485" t="s">
        <v>1254</v>
      </c>
      <c r="D540" s="338">
        <v>10318744</v>
      </c>
      <c r="F540" s="337" t="s">
        <v>1203</v>
      </c>
      <c r="G540" s="125">
        <v>44907</v>
      </c>
      <c r="H540" s="125">
        <v>44907</v>
      </c>
      <c r="I540" s="125">
        <v>44918</v>
      </c>
      <c r="R540" s="338" t="s">
        <v>1230</v>
      </c>
      <c r="S540" s="485">
        <f t="shared" si="234"/>
        <v>1</v>
      </c>
      <c r="U540" s="337">
        <v>1</v>
      </c>
      <c r="V540" s="340">
        <v>0</v>
      </c>
      <c r="Z540" s="338" t="s">
        <v>53</v>
      </c>
      <c r="AG540" s="338" t="s">
        <v>85</v>
      </c>
      <c r="AL540" s="341" t="s">
        <v>57</v>
      </c>
      <c r="AR540" s="135">
        <f>COUNTIF(B:B,B540)</f>
        <v>1</v>
      </c>
      <c r="AS540" s="135" t="str">
        <f t="shared" si="235"/>
        <v>2022_12_12_a</v>
      </c>
      <c r="AT540" s="136"/>
      <c r="AU540" s="135" t="str">
        <f t="shared" si="236"/>
        <v>2022</v>
      </c>
      <c r="AV540" s="135" t="str">
        <f t="shared" si="237"/>
        <v>12</v>
      </c>
      <c r="AW540" s="135" t="str">
        <f t="shared" si="238"/>
        <v>12</v>
      </c>
      <c r="AX540" s="135">
        <f t="shared" si="239"/>
        <v>44907</v>
      </c>
      <c r="AY540" s="137"/>
      <c r="AZ540" s="138">
        <f t="shared" si="240"/>
        <v>44907</v>
      </c>
      <c r="BA540" s="135" t="b">
        <f t="shared" si="241"/>
        <v>1</v>
      </c>
      <c r="BB540" s="135">
        <f t="shared" si="242"/>
        <v>44907</v>
      </c>
      <c r="BC540" s="135" t="str">
        <f t="shared" si="243"/>
        <v>no</v>
      </c>
      <c r="BD540" s="135" t="b">
        <f t="shared" si="244"/>
        <v>0</v>
      </c>
      <c r="BE540" s="139" t="s">
        <v>59</v>
      </c>
    </row>
    <row r="541" spans="1:59" ht="154">
      <c r="B541" s="81" t="s">
        <v>1255</v>
      </c>
      <c r="F541" s="337" t="s">
        <v>1203</v>
      </c>
      <c r="H541" s="339">
        <v>44932</v>
      </c>
      <c r="R541" s="338" t="s">
        <v>1226</v>
      </c>
      <c r="S541" s="338">
        <f t="shared" si="234"/>
        <v>19</v>
      </c>
      <c r="U541" s="337">
        <v>19</v>
      </c>
      <c r="V541" s="340">
        <v>0</v>
      </c>
      <c r="Z541" s="338" t="s">
        <v>53</v>
      </c>
      <c r="AG541" s="338" t="s">
        <v>85</v>
      </c>
      <c r="AL541" s="341" t="s">
        <v>57</v>
      </c>
      <c r="AR541" s="135">
        <f>COUNTIF(B:B,B541)</f>
        <v>1</v>
      </c>
      <c r="AS541" s="135" t="str">
        <f t="shared" si="235"/>
        <v>2023_01_06_a</v>
      </c>
      <c r="AT541" s="136"/>
      <c r="AU541" s="135" t="str">
        <f t="shared" si="236"/>
        <v>2023</v>
      </c>
      <c r="AV541" s="135" t="str">
        <f t="shared" si="237"/>
        <v>01</v>
      </c>
      <c r="AW541" s="135" t="str">
        <f t="shared" si="238"/>
        <v>06</v>
      </c>
      <c r="AX541" s="135">
        <f t="shared" si="239"/>
        <v>44932</v>
      </c>
      <c r="AY541" s="137"/>
      <c r="AZ541" s="138">
        <f t="shared" si="240"/>
        <v>44932</v>
      </c>
      <c r="BA541" s="135" t="b">
        <f t="shared" si="241"/>
        <v>1</v>
      </c>
      <c r="BB541" s="135">
        <f t="shared" si="242"/>
        <v>44932</v>
      </c>
      <c r="BC541" s="135" t="str">
        <f t="shared" si="243"/>
        <v>no</v>
      </c>
      <c r="BD541" s="135" t="b">
        <f t="shared" si="244"/>
        <v>0</v>
      </c>
      <c r="BE541" s="139" t="s">
        <v>59</v>
      </c>
    </row>
    <row r="542" spans="1:59" ht="154">
      <c r="B542" s="81" t="s">
        <v>1256</v>
      </c>
      <c r="F542" s="337" t="s">
        <v>1203</v>
      </c>
      <c r="G542" s="412">
        <v>44981</v>
      </c>
      <c r="H542" s="339">
        <v>44984</v>
      </c>
      <c r="R542" s="338" t="s">
        <v>1212</v>
      </c>
      <c r="S542" s="338">
        <f t="shared" si="234"/>
        <v>39</v>
      </c>
      <c r="U542" s="337">
        <v>39</v>
      </c>
      <c r="V542" s="340">
        <v>0</v>
      </c>
      <c r="Z542" s="338" t="s">
        <v>53</v>
      </c>
      <c r="AG542" s="338" t="s">
        <v>85</v>
      </c>
      <c r="AH542" s="338" t="s">
        <v>283</v>
      </c>
      <c r="AL542" s="341" t="s">
        <v>57</v>
      </c>
      <c r="AR542" s="135">
        <f>COUNTIF(B:B,B542)</f>
        <v>1</v>
      </c>
      <c r="AS542" s="135" t="str">
        <f t="shared" si="235"/>
        <v>2023_02_27_a</v>
      </c>
      <c r="AT542" s="136"/>
      <c r="AU542" s="135" t="str">
        <f t="shared" si="236"/>
        <v>2023</v>
      </c>
      <c r="AV542" s="135" t="str">
        <f t="shared" si="237"/>
        <v>02</v>
      </c>
      <c r="AW542" s="135" t="str">
        <f t="shared" si="238"/>
        <v>27</v>
      </c>
      <c r="AX542" s="135">
        <f t="shared" si="239"/>
        <v>44984</v>
      </c>
      <c r="AY542" s="137"/>
      <c r="AZ542" s="138">
        <f t="shared" si="240"/>
        <v>44984</v>
      </c>
      <c r="BA542" s="135" t="b">
        <f t="shared" si="241"/>
        <v>1</v>
      </c>
      <c r="BB542" s="135">
        <f t="shared" si="242"/>
        <v>44984</v>
      </c>
      <c r="BC542" s="135" t="str">
        <f t="shared" si="243"/>
        <v>no</v>
      </c>
      <c r="BD542" s="135" t="b">
        <f t="shared" si="244"/>
        <v>0</v>
      </c>
      <c r="BE542" s="139" t="s">
        <v>59</v>
      </c>
    </row>
  </sheetData>
  <sortState xmlns:xlrd2="http://schemas.microsoft.com/office/spreadsheetml/2017/richdata2" ref="A364:BG476">
    <sortCondition ref="B364:B476"/>
  </sortState>
  <mergeCells count="41">
    <mergeCell ref="F359:R359"/>
    <mergeCell ref="F236:R236"/>
    <mergeCell ref="F483:R483"/>
    <mergeCell ref="F511:R511"/>
    <mergeCell ref="F497:R497"/>
    <mergeCell ref="F484:R484"/>
    <mergeCell ref="F482:R482"/>
    <mergeCell ref="F485:R485"/>
    <mergeCell ref="F496:R496"/>
    <mergeCell ref="F363:R363"/>
    <mergeCell ref="F239:R239"/>
    <mergeCell ref="F362:R362"/>
    <mergeCell ref="F361:R361"/>
    <mergeCell ref="F360:R360"/>
    <mergeCell ref="F513:R513"/>
    <mergeCell ref="F515:R515"/>
    <mergeCell ref="F500:R500"/>
    <mergeCell ref="F498:R498"/>
    <mergeCell ref="F514:R514"/>
    <mergeCell ref="F499:R499"/>
    <mergeCell ref="F512:R512"/>
    <mergeCell ref="F219:R219"/>
    <mergeCell ref="F147:R147"/>
    <mergeCell ref="F218:R218"/>
    <mergeCell ref="F237:R237"/>
    <mergeCell ref="F238:R238"/>
    <mergeCell ref="F149:R149"/>
    <mergeCell ref="F220:R220"/>
    <mergeCell ref="AU2:AX2"/>
    <mergeCell ref="F146:R146"/>
    <mergeCell ref="F148:R148"/>
    <mergeCell ref="F150:R150"/>
    <mergeCell ref="F217:R217"/>
    <mergeCell ref="F123:R123"/>
    <mergeCell ref="F79:R79"/>
    <mergeCell ref="F122:R122"/>
    <mergeCell ref="F120:R120"/>
    <mergeCell ref="F78:R78"/>
    <mergeCell ref="F80:R80"/>
    <mergeCell ref="F119:R119"/>
    <mergeCell ref="F121:R121"/>
  </mergeCells>
  <phoneticPr fontId="10"/>
  <dataValidations count="1">
    <dataValidation type="list" allowBlank="1" showInputMessage="1" showErrorMessage="1" sqref="AJ144 AH3:AH1048576" xr:uid="{BE3FA2D9-C187-43AC-93F0-959145C6E6F0}">
      <formula1>"F2F,Virtual,Hybrid"</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AG19"/>
  <sheetViews>
    <sheetView zoomScale="90" zoomScaleNormal="90" workbookViewId="0">
      <pane xSplit="2" ySplit="3" topLeftCell="H4" activePane="bottomRight" state="frozen"/>
      <selection pane="topRight" activeCell="C1" sqref="C1"/>
      <selection pane="bottomLeft" activeCell="A4" sqref="A4"/>
      <selection pane="bottomRight" activeCell="H12" sqref="H12"/>
    </sheetView>
  </sheetViews>
  <sheetFormatPr defaultColWidth="8.453125" defaultRowHeight="14.5"/>
  <cols>
    <col min="1" max="1" width="8.453125" customWidth="1"/>
    <col min="3" max="14" width="14.453125" customWidth="1"/>
    <col min="15" max="21" width="14.453125" hidden="1" customWidth="1"/>
    <col min="22" max="25" width="14.453125" customWidth="1"/>
    <col min="26" max="27" width="10.453125" customWidth="1"/>
  </cols>
  <sheetData>
    <row r="2" spans="2:33" ht="15" customHeight="1">
      <c r="B2" s="505"/>
      <c r="C2" s="506" t="s">
        <v>1257</v>
      </c>
      <c r="D2" s="506"/>
      <c r="E2" s="506"/>
      <c r="F2" s="506"/>
      <c r="G2" s="506"/>
      <c r="H2" s="507"/>
      <c r="I2" s="508" t="s">
        <v>1258</v>
      </c>
      <c r="J2" s="508"/>
      <c r="K2" s="508"/>
      <c r="L2" s="508"/>
      <c r="M2" s="508"/>
      <c r="N2" s="509"/>
      <c r="O2" s="510" t="s">
        <v>1259</v>
      </c>
      <c r="P2" s="510"/>
      <c r="Q2" s="510"/>
      <c r="R2" s="510"/>
      <c r="S2" s="510"/>
      <c r="T2" s="510"/>
      <c r="U2" s="511"/>
      <c r="V2" s="512" t="s">
        <v>225</v>
      </c>
      <c r="W2" s="512"/>
      <c r="X2" s="512"/>
      <c r="Y2" s="512"/>
    </row>
    <row r="3" spans="2:33" s="14" customFormat="1" ht="46.5" customHeight="1">
      <c r="B3" s="505"/>
      <c r="C3" s="13" t="s">
        <v>1260</v>
      </c>
      <c r="D3" s="13" t="s">
        <v>1261</v>
      </c>
      <c r="E3" s="13" t="s">
        <v>1262</v>
      </c>
      <c r="F3" s="13" t="s">
        <v>1263</v>
      </c>
      <c r="G3" s="13" t="s">
        <v>1264</v>
      </c>
      <c r="H3" s="13" t="s">
        <v>1265</v>
      </c>
      <c r="I3" s="15" t="s">
        <v>1260</v>
      </c>
      <c r="J3" s="15" t="s">
        <v>1261</v>
      </c>
      <c r="K3" s="15" t="s">
        <v>1262</v>
      </c>
      <c r="L3" s="15" t="s">
        <v>1263</v>
      </c>
      <c r="M3" s="15" t="s">
        <v>1264</v>
      </c>
      <c r="N3" s="15" t="s">
        <v>1265</v>
      </c>
      <c r="O3" s="16" t="s">
        <v>1266</v>
      </c>
      <c r="P3" s="16" t="s">
        <v>1267</v>
      </c>
      <c r="Q3" s="16" t="s">
        <v>1268</v>
      </c>
      <c r="R3" s="16" t="s">
        <v>1269</v>
      </c>
      <c r="S3" s="16" t="s">
        <v>1270</v>
      </c>
      <c r="T3" s="16" t="s">
        <v>1271</v>
      </c>
      <c r="U3" s="16" t="s">
        <v>1265</v>
      </c>
      <c r="V3" s="17" t="s">
        <v>1268</v>
      </c>
      <c r="W3" s="17" t="s">
        <v>1271</v>
      </c>
      <c r="X3" s="18" t="s">
        <v>1272</v>
      </c>
      <c r="Y3" s="18" t="s">
        <v>1273</v>
      </c>
      <c r="Z3" s="14" t="s">
        <v>1274</v>
      </c>
      <c r="AA3" s="14" t="s">
        <v>1275</v>
      </c>
      <c r="AB3" s="14" t="s">
        <v>1276</v>
      </c>
      <c r="AC3" s="14" t="s">
        <v>1277</v>
      </c>
      <c r="AD3" s="14" t="s">
        <v>1278</v>
      </c>
      <c r="AE3" t="s">
        <v>1279</v>
      </c>
      <c r="AF3" s="14" t="s">
        <v>1280</v>
      </c>
      <c r="AG3" s="14" t="s">
        <v>1281</v>
      </c>
    </row>
    <row r="4" spans="2:33">
      <c r="B4" s="1" t="s">
        <v>1282</v>
      </c>
      <c r="C4" s="4" t="s">
        <v>48</v>
      </c>
      <c r="D4" s="4" t="s">
        <v>48</v>
      </c>
      <c r="E4" s="4" t="s">
        <v>48</v>
      </c>
      <c r="F4" s="4" t="s">
        <v>48</v>
      </c>
      <c r="G4" s="4" t="s">
        <v>48</v>
      </c>
      <c r="H4" s="4" t="s">
        <v>48</v>
      </c>
      <c r="I4" s="1">
        <f>'Geo &amp; CIC Deployment Plan'!V74</f>
        <v>28</v>
      </c>
      <c r="J4" s="1">
        <f>'Geo &amp; CIC Deployment Plan'!V75</f>
        <v>31</v>
      </c>
      <c r="K4" s="1">
        <f>'Geo &amp; CIC Deployment Plan'!V78</f>
        <v>0</v>
      </c>
      <c r="L4" s="1">
        <f>'Geo &amp; CIC Deployment Plan'!V79</f>
        <v>0</v>
      </c>
      <c r="M4" s="10">
        <f>'Geo &amp; CIC Deployment Plan'!V80</f>
        <v>1348</v>
      </c>
      <c r="N4">
        <f>COUNTIFS('Geo &amp; CIC Deployment Plan'!F3:F21, "=CIC India")</f>
        <v>19</v>
      </c>
      <c r="O4" s="4" t="s">
        <v>48</v>
      </c>
      <c r="P4" s="4" t="s">
        <v>48</v>
      </c>
      <c r="Q4" s="4" t="s">
        <v>48</v>
      </c>
      <c r="R4" s="4" t="s">
        <v>48</v>
      </c>
      <c r="S4" s="4" t="s">
        <v>48</v>
      </c>
      <c r="T4" s="4" t="s">
        <v>48</v>
      </c>
      <c r="U4" s="4" t="s">
        <v>48</v>
      </c>
      <c r="V4" s="4" t="s">
        <v>48</v>
      </c>
      <c r="W4" s="21">
        <f t="shared" ref="W4:W11" si="0">M4</f>
        <v>1348</v>
      </c>
      <c r="X4" s="9">
        <f>M4</f>
        <v>1348</v>
      </c>
      <c r="Y4">
        <f>N4</f>
        <v>19</v>
      </c>
      <c r="Z4" t="str">
        <f>'Geo &amp; CIC Deployment Plan'!AG74</f>
        <v>New GBS Associates Induction</v>
      </c>
      <c r="AA4">
        <f>'Geo &amp; CIC Deployment Plan'!AG78</f>
        <v>0</v>
      </c>
      <c r="AB4">
        <f>'Geo &amp; CIC Deployment Plan'!AH78</f>
        <v>8</v>
      </c>
      <c r="AC4" t="str">
        <f>'Geo &amp; CIC Deployment Plan'!AH74</f>
        <v>Virtual</v>
      </c>
      <c r="AD4">
        <f>'Geo &amp; CIC Deployment Plan'!AA74</f>
        <v>0</v>
      </c>
      <c r="AE4">
        <f>'Geo &amp; CIC Deployment Plan'!AA75</f>
        <v>0</v>
      </c>
      <c r="AF4">
        <f>'Geo &amp; CIC Deployment Plan'!AA78</f>
        <v>0</v>
      </c>
      <c r="AG4">
        <f>'Geo &amp; CIC Deployment Plan'!AA79</f>
        <v>0</v>
      </c>
    </row>
    <row r="5" spans="2:33">
      <c r="B5" s="1" t="s">
        <v>1283</v>
      </c>
      <c r="C5" s="1">
        <f>'Geo &amp; CIC Deployment Plan'!U119</f>
        <v>133</v>
      </c>
      <c r="D5" s="1">
        <f>'Geo &amp; CIC Deployment Plan'!U120</f>
        <v>0</v>
      </c>
      <c r="E5" s="1">
        <f>'Geo &amp; CIC Deployment Plan'!U121</f>
        <v>0</v>
      </c>
      <c r="F5" s="1">
        <f>'Geo &amp; CIC Deployment Plan'!U122</f>
        <v>0</v>
      </c>
      <c r="G5" s="10">
        <f>'Geo &amp; CIC Deployment Plan'!U123</f>
        <v>133</v>
      </c>
      <c r="H5">
        <f>COUNTIFS('Geo &amp; CIC Deployment Plan'!F81:F97, "=GEO China")</f>
        <v>4</v>
      </c>
      <c r="I5" s="1">
        <f>'Geo &amp; CIC Deployment Plan'!V119</f>
        <v>794</v>
      </c>
      <c r="J5" s="1">
        <f>'Geo &amp; CIC Deployment Plan'!V120</f>
        <v>0</v>
      </c>
      <c r="K5" s="1">
        <f>'Geo &amp; CIC Deployment Plan'!V121</f>
        <v>0</v>
      </c>
      <c r="L5" s="1">
        <f>'Geo &amp; CIC Deployment Plan'!V122</f>
        <v>0</v>
      </c>
      <c r="M5" s="10">
        <f>'Geo &amp; CIC Deployment Plan'!V123</f>
        <v>794</v>
      </c>
      <c r="N5">
        <f>COUNTIFS('Geo &amp; CIC Deployment Plan'!F81:F97, "=CIC China")</f>
        <v>13</v>
      </c>
      <c r="O5" s="4" t="s">
        <v>48</v>
      </c>
      <c r="P5" s="4" t="s">
        <v>48</v>
      </c>
      <c r="Q5" s="4" t="s">
        <v>48</v>
      </c>
      <c r="R5" s="4" t="s">
        <v>48</v>
      </c>
      <c r="S5" s="4" t="s">
        <v>48</v>
      </c>
      <c r="T5" s="4" t="s">
        <v>48</v>
      </c>
      <c r="U5" s="4" t="s">
        <v>48</v>
      </c>
      <c r="V5" s="21">
        <f>G5</f>
        <v>133</v>
      </c>
      <c r="W5" s="21">
        <f t="shared" si="0"/>
        <v>794</v>
      </c>
      <c r="X5" s="9">
        <f>G5+M5</f>
        <v>927</v>
      </c>
      <c r="Y5" s="6">
        <f>H5+N5</f>
        <v>17</v>
      </c>
      <c r="Z5">
        <f>'Geo &amp; CIC Deployment Plan'!AG119</f>
        <v>0</v>
      </c>
      <c r="AA5">
        <f>'Geo &amp; CIC Deployment Plan'!AG121</f>
        <v>0</v>
      </c>
      <c r="AB5">
        <f>'Geo &amp; CIC Deployment Plan'!AH121</f>
        <v>0</v>
      </c>
      <c r="AC5">
        <f>'Geo &amp; CIC Deployment Plan'!AH119</f>
        <v>6</v>
      </c>
      <c r="AD5">
        <f>'Geo &amp; CIC Deployment Plan'!AA119</f>
        <v>0</v>
      </c>
      <c r="AE5">
        <f>'Geo &amp; CIC Deployment Plan'!AA120</f>
        <v>5</v>
      </c>
      <c r="AF5">
        <f>'Geo &amp; CIC Deployment Plan'!AA121</f>
        <v>1</v>
      </c>
      <c r="AG5">
        <f>'Geo &amp; CIC Deployment Plan'!AA122</f>
        <v>0</v>
      </c>
    </row>
    <row r="6" spans="2:33">
      <c r="B6" s="1" t="s">
        <v>390</v>
      </c>
      <c r="C6" s="4" t="s">
        <v>48</v>
      </c>
      <c r="D6" s="4" t="s">
        <v>48</v>
      </c>
      <c r="E6" s="4" t="s">
        <v>48</v>
      </c>
      <c r="F6" s="4" t="s">
        <v>48</v>
      </c>
      <c r="G6" s="4" t="s">
        <v>48</v>
      </c>
      <c r="H6" s="4" t="s">
        <v>48</v>
      </c>
      <c r="I6" s="1">
        <f>'Geo &amp; CIC Deployment Plan'!V146</f>
        <v>1045</v>
      </c>
      <c r="J6" s="1">
        <f>'Geo &amp; CIC Deployment Plan'!V147</f>
        <v>0</v>
      </c>
      <c r="K6" s="1">
        <f>'Geo &amp; CIC Deployment Plan'!V148</f>
        <v>0</v>
      </c>
      <c r="L6" s="1">
        <f>'Geo &amp; CIC Deployment Plan'!V149</f>
        <v>0</v>
      </c>
      <c r="M6" s="10">
        <f>'Geo &amp; CIC Deployment Plan'!V150</f>
        <v>1045</v>
      </c>
      <c r="N6">
        <f>COUNTIFS('Geo &amp; CIC Deployment Plan'!F124:F126, "=CIC CEE")</f>
        <v>3</v>
      </c>
      <c r="O6" s="4" t="s">
        <v>48</v>
      </c>
      <c r="P6" s="4" t="s">
        <v>48</v>
      </c>
      <c r="Q6" s="4" t="s">
        <v>48</v>
      </c>
      <c r="R6" s="4" t="s">
        <v>48</v>
      </c>
      <c r="S6" s="4" t="s">
        <v>48</v>
      </c>
      <c r="T6" s="4" t="s">
        <v>48</v>
      </c>
      <c r="U6" s="4" t="s">
        <v>48</v>
      </c>
      <c r="V6" s="4" t="s">
        <v>48</v>
      </c>
      <c r="W6" s="21">
        <f t="shared" si="0"/>
        <v>1045</v>
      </c>
      <c r="X6" s="9">
        <f>M6</f>
        <v>1045</v>
      </c>
      <c r="Y6" s="6">
        <f>N6</f>
        <v>3</v>
      </c>
      <c r="Z6">
        <f>'Geo &amp; CIC Deployment Plan'!AG146</f>
        <v>0</v>
      </c>
      <c r="AA6">
        <f>'Geo &amp; CIC Deployment Plan'!AG148</f>
        <v>0</v>
      </c>
      <c r="AB6">
        <f>'Geo &amp; CIC Deployment Plan'!AH148</f>
        <v>19</v>
      </c>
      <c r="AC6">
        <f>'Geo &amp; CIC Deployment Plan'!AH146</f>
        <v>19</v>
      </c>
      <c r="AD6">
        <f>'Geo &amp; CIC Deployment Plan'!AA146</f>
        <v>21</v>
      </c>
      <c r="AE6">
        <f>'Geo &amp; CIC Deployment Plan'!AA147</f>
        <v>0</v>
      </c>
      <c r="AF6">
        <f>'Geo &amp; CIC Deployment Plan'!AA148</f>
        <v>0</v>
      </c>
      <c r="AG6">
        <f>'Geo &amp; CIC Deployment Plan'!AA149</f>
        <v>0</v>
      </c>
    </row>
    <row r="7" spans="2:33">
      <c r="B7" s="1" t="s">
        <v>1284</v>
      </c>
      <c r="C7" s="1">
        <f>'Geo &amp; CIC Deployment Plan'!U217</f>
        <v>25</v>
      </c>
      <c r="D7" s="1">
        <f>'Geo &amp; CIC Deployment Plan'!U218</f>
        <v>0</v>
      </c>
      <c r="E7" s="1">
        <f>'Geo &amp; CIC Deployment Plan'!U219</f>
        <v>0</v>
      </c>
      <c r="F7" s="1">
        <f>'Geo &amp; CIC Deployment Plan'!U220</f>
        <v>0</v>
      </c>
      <c r="G7" s="10" t="e">
        <f>'Geo &amp; CIC Deployment Plan'!#REF!</f>
        <v>#REF!</v>
      </c>
      <c r="H7" s="19">
        <f>COUNTIFS('Geo &amp; CIC Deployment Plan'!F152:F176, "=Geo Western Europe")</f>
        <v>1</v>
      </c>
      <c r="I7" s="1">
        <f>'Geo &amp; CIC Deployment Plan'!V217</f>
        <v>65</v>
      </c>
      <c r="J7" s="1">
        <f>'Geo &amp; CIC Deployment Plan'!V218</f>
        <v>0</v>
      </c>
      <c r="K7" s="1">
        <f>'Geo &amp; CIC Deployment Plan'!V219</f>
        <v>384</v>
      </c>
      <c r="L7" s="1">
        <f>'Geo &amp; CIC Deployment Plan'!V220</f>
        <v>0</v>
      </c>
      <c r="M7" s="10" t="e">
        <f>'Geo &amp; CIC Deployment Plan'!#REF!</f>
        <v>#REF!</v>
      </c>
      <c r="N7" s="19">
        <f>COUNTIFS('Geo &amp; CIC Deployment Plan'!F152:F176, "=CIC Western Europe")</f>
        <v>24</v>
      </c>
      <c r="O7" s="4" t="s">
        <v>48</v>
      </c>
      <c r="P7" s="4" t="s">
        <v>48</v>
      </c>
      <c r="Q7" s="4" t="s">
        <v>48</v>
      </c>
      <c r="R7" s="4" t="s">
        <v>48</v>
      </c>
      <c r="S7" s="4" t="s">
        <v>48</v>
      </c>
      <c r="T7" s="4" t="s">
        <v>48</v>
      </c>
      <c r="U7" s="4" t="s">
        <v>48</v>
      </c>
      <c r="V7" s="21" t="e">
        <f>G7</f>
        <v>#REF!</v>
      </c>
      <c r="W7" s="21" t="e">
        <f t="shared" si="0"/>
        <v>#REF!</v>
      </c>
      <c r="X7" s="9" t="e">
        <f>G7+M7</f>
        <v>#REF!</v>
      </c>
      <c r="Y7" s="6">
        <f>H7+N7</f>
        <v>25</v>
      </c>
      <c r="Z7">
        <f>'Geo &amp; CIC Deployment Plan'!AG217</f>
        <v>0</v>
      </c>
      <c r="AA7">
        <f>'Geo &amp; CIC Deployment Plan'!AG219</f>
        <v>0</v>
      </c>
      <c r="AB7">
        <f>'Geo &amp; CIC Deployment Plan'!AH219</f>
        <v>2</v>
      </c>
      <c r="AC7">
        <f>'Geo &amp; CIC Deployment Plan'!AH217</f>
        <v>19</v>
      </c>
      <c r="AD7">
        <f>'Geo &amp; CIC Deployment Plan'!AA217</f>
        <v>11</v>
      </c>
      <c r="AE7">
        <f>'Geo &amp; CIC Deployment Plan'!AA218</f>
        <v>5</v>
      </c>
      <c r="AF7">
        <f>'Geo &amp; CIC Deployment Plan'!AA219</f>
        <v>3</v>
      </c>
      <c r="AG7">
        <f>'Geo &amp; CIC Deployment Plan'!AA220</f>
        <v>0</v>
      </c>
    </row>
    <row r="8" spans="2:33">
      <c r="B8" s="1" t="s">
        <v>1285</v>
      </c>
      <c r="C8" s="4" t="s">
        <v>48</v>
      </c>
      <c r="D8" s="4" t="s">
        <v>48</v>
      </c>
      <c r="E8" s="4" t="s">
        <v>48</v>
      </c>
      <c r="F8" s="4" t="s">
        <v>48</v>
      </c>
      <c r="G8" s="4" t="s">
        <v>48</v>
      </c>
      <c r="H8" s="4" t="s">
        <v>48</v>
      </c>
      <c r="I8" s="1">
        <f>'Geo &amp; CIC Deployment Plan'!V223</f>
        <v>2</v>
      </c>
      <c r="J8" s="1">
        <f>'Geo &amp; CIC Deployment Plan'!V236</f>
        <v>0</v>
      </c>
      <c r="K8" s="1">
        <f>'Geo &amp; CIC Deployment Plan'!V237</f>
        <v>0</v>
      </c>
      <c r="L8" s="1">
        <f>'Geo &amp; CIC Deployment Plan'!V238</f>
        <v>0</v>
      </c>
      <c r="M8" s="10">
        <f>'Geo &amp; CIC Deployment Plan'!V239</f>
        <v>17</v>
      </c>
      <c r="N8" s="19">
        <f>COUNTIFS('Geo &amp; CIC Deployment Plan'!F221:F221, "=CIC Philippines")</f>
        <v>1</v>
      </c>
      <c r="O8" s="4" t="s">
        <v>48</v>
      </c>
      <c r="P8" s="4" t="s">
        <v>48</v>
      </c>
      <c r="Q8" s="4" t="s">
        <v>48</v>
      </c>
      <c r="R8" s="4" t="s">
        <v>48</v>
      </c>
      <c r="S8" s="4" t="s">
        <v>48</v>
      </c>
      <c r="T8" s="4" t="s">
        <v>48</v>
      </c>
      <c r="U8" s="4" t="s">
        <v>48</v>
      </c>
      <c r="V8" s="4" t="s">
        <v>48</v>
      </c>
      <c r="W8" s="21">
        <f t="shared" si="0"/>
        <v>17</v>
      </c>
      <c r="X8" s="9">
        <f>M8</f>
        <v>17</v>
      </c>
      <c r="Y8" s="6">
        <f>N8</f>
        <v>1</v>
      </c>
      <c r="Z8" t="str">
        <f>'Geo &amp; CIC Deployment Plan'!AG223</f>
        <v>New GBS Associates Induction</v>
      </c>
      <c r="AA8">
        <f>'Geo &amp; CIC Deployment Plan'!AG237</f>
        <v>0</v>
      </c>
      <c r="AB8">
        <f>'Geo &amp; CIC Deployment Plan'!AH237</f>
        <v>0</v>
      </c>
      <c r="AC8" t="str">
        <f>'Geo &amp; CIC Deployment Plan'!AH223</f>
        <v>Virtual</v>
      </c>
      <c r="AD8">
        <f>'Geo &amp; CIC Deployment Plan'!AA223</f>
        <v>0</v>
      </c>
      <c r="AE8">
        <f>'Geo &amp; CIC Deployment Plan'!AA236</f>
        <v>1</v>
      </c>
      <c r="AF8">
        <f>'Geo &amp; CIC Deployment Plan'!AA237</f>
        <v>0</v>
      </c>
      <c r="AG8">
        <f>'Geo &amp; CIC Deployment Plan'!AA238</f>
        <v>0</v>
      </c>
    </row>
    <row r="9" spans="2:33">
      <c r="B9" s="1" t="s">
        <v>1286</v>
      </c>
      <c r="C9" s="4" t="s">
        <v>48</v>
      </c>
      <c r="D9" s="4" t="s">
        <v>48</v>
      </c>
      <c r="E9" s="4" t="s">
        <v>48</v>
      </c>
      <c r="F9" s="4" t="s">
        <v>48</v>
      </c>
      <c r="G9" s="4" t="s">
        <v>48</v>
      </c>
      <c r="H9" s="4" t="s">
        <v>48</v>
      </c>
      <c r="I9" s="1">
        <f>'Geo &amp; CIC Deployment Plan'!V359</f>
        <v>732</v>
      </c>
      <c r="J9" s="1">
        <f>'Geo &amp; CIC Deployment Plan'!V360</f>
        <v>0</v>
      </c>
      <c r="K9" s="1">
        <f>'Geo &amp; CIC Deployment Plan'!V361</f>
        <v>0</v>
      </c>
      <c r="L9" s="1">
        <f>'Geo &amp; CIC Deployment Plan'!V362</f>
        <v>0</v>
      </c>
      <c r="M9" s="10">
        <f>'Geo &amp; CIC Deployment Plan'!V363</f>
        <v>1523</v>
      </c>
      <c r="N9" s="24">
        <f>COUNTIFS('Geo &amp; CIC Deployment Plan'!F240:F289, "=CIC LA")</f>
        <v>50</v>
      </c>
      <c r="O9" s="4" t="s">
        <v>48</v>
      </c>
      <c r="P9" s="4" t="s">
        <v>48</v>
      </c>
      <c r="Q9" s="4" t="s">
        <v>48</v>
      </c>
      <c r="R9" s="4" t="s">
        <v>48</v>
      </c>
      <c r="S9" s="4" t="s">
        <v>48</v>
      </c>
      <c r="T9" s="4" t="s">
        <v>48</v>
      </c>
      <c r="U9" s="4" t="s">
        <v>48</v>
      </c>
      <c r="V9" s="4" t="s">
        <v>48</v>
      </c>
      <c r="W9" s="21">
        <f t="shared" si="0"/>
        <v>1523</v>
      </c>
      <c r="X9" s="9">
        <f>M9</f>
        <v>1523</v>
      </c>
      <c r="Y9" s="8">
        <f>N9</f>
        <v>50</v>
      </c>
      <c r="Z9">
        <f>'Geo &amp; CIC Deployment Plan'!AG359</f>
        <v>0</v>
      </c>
      <c r="AA9">
        <f>'Geo &amp; CIC Deployment Plan'!AG361</f>
        <v>0</v>
      </c>
      <c r="AB9">
        <f>'Geo &amp; CIC Deployment Plan'!AH361</f>
        <v>0</v>
      </c>
      <c r="AC9">
        <f>'Geo &amp; CIC Deployment Plan'!AH359</f>
        <v>50</v>
      </c>
      <c r="AD9">
        <f>'Geo &amp; CIC Deployment Plan'!AA359</f>
        <v>0</v>
      </c>
      <c r="AE9">
        <f>'Geo &amp; CIC Deployment Plan'!AA360</f>
        <v>24</v>
      </c>
      <c r="AF9">
        <f>'Geo &amp; CIC Deployment Plan'!AA361</f>
        <v>0</v>
      </c>
      <c r="AG9">
        <f>'Geo &amp; CIC Deployment Plan'!AA362</f>
        <v>1</v>
      </c>
    </row>
    <row r="10" spans="2:33">
      <c r="B10" s="1" t="s">
        <v>210</v>
      </c>
      <c r="C10" s="1" t="e">
        <f>'Geo &amp; CIC Deployment Plan'!#REF!</f>
        <v>#REF!</v>
      </c>
      <c r="D10" s="1">
        <f>'Geo &amp; CIC Deployment Plan'!U482</f>
        <v>683</v>
      </c>
      <c r="E10" s="1">
        <f>'Geo &amp; CIC Deployment Plan'!U483</f>
        <v>0</v>
      </c>
      <c r="F10" s="1">
        <f>'Geo &amp; CIC Deployment Plan'!U484</f>
        <v>0</v>
      </c>
      <c r="G10" s="10">
        <f>'Geo &amp; CIC Deployment Plan'!U485</f>
        <v>1032</v>
      </c>
      <c r="H10" s="7">
        <f>COUNTIFS('Geo &amp; CIC Deployment Plan'!F364:F466, "=Geo NA - US") + COUNTIFS('Geo &amp; CIC Deployment Plan'!F364:F466, "=Geo NA - Canada")</f>
        <v>41</v>
      </c>
      <c r="I10" s="1" t="e">
        <f>'Geo &amp; CIC Deployment Plan'!#REF!</f>
        <v>#REF!</v>
      </c>
      <c r="J10" s="1">
        <f>'Geo &amp; CIC Deployment Plan'!V482</f>
        <v>916</v>
      </c>
      <c r="K10" s="1">
        <f>'Geo &amp; CIC Deployment Plan'!V483</f>
        <v>0</v>
      </c>
      <c r="L10" s="1">
        <f>'Geo &amp; CIC Deployment Plan'!V484</f>
        <v>0</v>
      </c>
      <c r="M10" s="10">
        <f>'Geo &amp; CIC Deployment Plan'!V485</f>
        <v>1217</v>
      </c>
      <c r="N10" s="7">
        <f>COUNTIFS('Geo &amp; CIC Deployment Plan'!F364:F466, "=CIC NA")</f>
        <v>62</v>
      </c>
      <c r="O10" s="4" t="s">
        <v>48</v>
      </c>
      <c r="P10" s="4" t="s">
        <v>48</v>
      </c>
      <c r="Q10" s="4" t="s">
        <v>48</v>
      </c>
      <c r="R10" s="4" t="s">
        <v>48</v>
      </c>
      <c r="S10" s="4" t="s">
        <v>48</v>
      </c>
      <c r="T10" s="4" t="s">
        <v>48</v>
      </c>
      <c r="U10" s="4" t="s">
        <v>48</v>
      </c>
      <c r="V10" s="21">
        <f>G10</f>
        <v>1032</v>
      </c>
      <c r="W10" s="21">
        <f t="shared" si="0"/>
        <v>1217</v>
      </c>
      <c r="X10" s="9">
        <f>G10+M10</f>
        <v>2249</v>
      </c>
      <c r="Y10" s="8">
        <f>H10+N10</f>
        <v>103</v>
      </c>
      <c r="Z10" t="e">
        <f>'Geo &amp; CIC Deployment Plan'!#REF!</f>
        <v>#REF!</v>
      </c>
      <c r="AA10">
        <f>'Geo &amp; CIC Deployment Plan'!AG483</f>
        <v>0</v>
      </c>
      <c r="AB10">
        <f>'Geo &amp; CIC Deployment Plan'!AH483</f>
        <v>17</v>
      </c>
      <c r="AC10" t="e">
        <f>'Geo &amp; CIC Deployment Plan'!#REF!</f>
        <v>#REF!</v>
      </c>
      <c r="AD10" t="e">
        <f>'Geo &amp; CIC Deployment Plan'!#REF!</f>
        <v>#REF!</v>
      </c>
      <c r="AE10">
        <f>'Geo &amp; CIC Deployment Plan'!AA482</f>
        <v>32</v>
      </c>
      <c r="AF10">
        <f>'Geo &amp; CIC Deployment Plan'!AA483</f>
        <v>0</v>
      </c>
      <c r="AG10">
        <f>'Geo &amp; CIC Deployment Plan'!AA484</f>
        <v>0</v>
      </c>
    </row>
    <row r="11" spans="2:33">
      <c r="B11" s="1" t="s">
        <v>1287</v>
      </c>
      <c r="C11" s="3">
        <f>'Geo &amp; CIC Deployment Plan'!U496</f>
        <v>13</v>
      </c>
      <c r="D11" s="3">
        <f>'Geo &amp; CIC Deployment Plan'!U497</f>
        <v>0</v>
      </c>
      <c r="E11" s="3">
        <f>'Geo &amp; CIC Deployment Plan'!U498</f>
        <v>0</v>
      </c>
      <c r="F11" s="3">
        <f>'Geo &amp; CIC Deployment Plan'!U499</f>
        <v>0</v>
      </c>
      <c r="G11" s="11">
        <f>'Geo &amp; CIC Deployment Plan'!U500</f>
        <v>13</v>
      </c>
      <c r="H11" s="19">
        <f>COUNTIFS('Geo &amp; CIC Deployment Plan'!F486:F494, "=Geo MEA")</f>
        <v>1</v>
      </c>
      <c r="I11" s="1">
        <f>'Geo &amp; CIC Deployment Plan'!V496</f>
        <v>196</v>
      </c>
      <c r="J11" s="1">
        <f>'Geo &amp; CIC Deployment Plan'!V497</f>
        <v>0</v>
      </c>
      <c r="K11" s="1">
        <f>'Geo &amp; CIC Deployment Plan'!V498</f>
        <v>0</v>
      </c>
      <c r="L11" s="1">
        <f>'Geo &amp; CIC Deployment Plan'!V499</f>
        <v>0</v>
      </c>
      <c r="M11" s="10">
        <f>'Geo &amp; CIC Deployment Plan'!V500</f>
        <v>229</v>
      </c>
      <c r="N11" s="7">
        <f>COUNTIFS('Geo &amp; CIC Deployment Plan'!F486:F494, "=CIC MEA")</f>
        <v>8</v>
      </c>
      <c r="O11" s="4" t="s">
        <v>48</v>
      </c>
      <c r="P11" s="4" t="s">
        <v>48</v>
      </c>
      <c r="Q11" s="4" t="s">
        <v>48</v>
      </c>
      <c r="R11" s="4" t="s">
        <v>48</v>
      </c>
      <c r="S11" s="4" t="s">
        <v>48</v>
      </c>
      <c r="T11" s="4" t="s">
        <v>48</v>
      </c>
      <c r="U11" s="4" t="s">
        <v>48</v>
      </c>
      <c r="V11" s="20">
        <f>G11</f>
        <v>13</v>
      </c>
      <c r="W11" s="21">
        <f t="shared" si="0"/>
        <v>229</v>
      </c>
      <c r="X11" s="25">
        <f>G11+M11</f>
        <v>242</v>
      </c>
      <c r="Y11" s="6">
        <f>H11+N11</f>
        <v>9</v>
      </c>
      <c r="Z11">
        <f>'Geo &amp; CIC Deployment Plan'!AG496</f>
        <v>0</v>
      </c>
      <c r="AA11">
        <f>'Geo &amp; CIC Deployment Plan'!AG498</f>
        <v>0</v>
      </c>
      <c r="AB11">
        <f>'Geo &amp; CIC Deployment Plan'!AH498</f>
        <v>0</v>
      </c>
      <c r="AC11">
        <f>'Geo &amp; CIC Deployment Plan'!AH496</f>
        <v>7</v>
      </c>
      <c r="AD11">
        <f>'Geo &amp; CIC Deployment Plan'!AA496</f>
        <v>6</v>
      </c>
      <c r="AE11">
        <f>'Geo &amp; CIC Deployment Plan'!AA497</f>
        <v>1</v>
      </c>
      <c r="AF11">
        <f>'Geo &amp; CIC Deployment Plan'!AA498</f>
        <v>0</v>
      </c>
      <c r="AG11">
        <f>'Geo &amp; CIC Deployment Plan'!AA499</f>
        <v>1</v>
      </c>
    </row>
    <row r="12" spans="2:33">
      <c r="B12" s="1" t="s">
        <v>1288</v>
      </c>
      <c r="C12" s="1">
        <f>'Geo &amp; CIC Deployment Plan'!U511</f>
        <v>540</v>
      </c>
      <c r="D12" s="1">
        <f>'Geo &amp; CIC Deployment Plan'!U512</f>
        <v>0</v>
      </c>
      <c r="E12" s="1">
        <f>'Geo &amp; CIC Deployment Plan'!U513</f>
        <v>0</v>
      </c>
      <c r="F12" s="1">
        <f>'Geo &amp; CIC Deployment Plan'!U514</f>
        <v>0</v>
      </c>
      <c r="G12" s="10">
        <f>'Geo &amp; CIC Deployment Plan'!U515</f>
        <v>540</v>
      </c>
      <c r="H12" s="7">
        <f>COUNTIFS('Geo &amp; CIC Deployment Plan'!F501:F506, "=Geo Japan")</f>
        <v>6</v>
      </c>
      <c r="I12" s="4" t="s">
        <v>48</v>
      </c>
      <c r="J12" s="4" t="s">
        <v>48</v>
      </c>
      <c r="K12" s="4" t="s">
        <v>48</v>
      </c>
      <c r="L12" s="4" t="s">
        <v>48</v>
      </c>
      <c r="M12" s="4" t="s">
        <v>48</v>
      </c>
      <c r="N12" s="4" t="s">
        <v>48</v>
      </c>
      <c r="O12" s="4" t="s">
        <v>48</v>
      </c>
      <c r="P12" s="4" t="s">
        <v>48</v>
      </c>
      <c r="Q12" s="4" t="s">
        <v>48</v>
      </c>
      <c r="R12" s="4" t="s">
        <v>48</v>
      </c>
      <c r="S12" s="4" t="s">
        <v>48</v>
      </c>
      <c r="T12" s="4" t="s">
        <v>48</v>
      </c>
      <c r="U12" s="4" t="s">
        <v>48</v>
      </c>
      <c r="V12" s="10">
        <f>G12</f>
        <v>540</v>
      </c>
      <c r="W12" s="4" t="s">
        <v>48</v>
      </c>
      <c r="X12" s="10">
        <f>G12</f>
        <v>540</v>
      </c>
      <c r="Y12" s="6">
        <f>H12</f>
        <v>6</v>
      </c>
      <c r="Z12">
        <f>'Geo &amp; CIC Deployment Plan'!AG511</f>
        <v>0</v>
      </c>
      <c r="AA12">
        <f>'Geo &amp; CIC Deployment Plan'!AG513</f>
        <v>0</v>
      </c>
      <c r="AB12">
        <f>'Geo &amp; CIC Deployment Plan'!AH513</f>
        <v>0</v>
      </c>
      <c r="AC12">
        <f>'Geo &amp; CIC Deployment Plan'!AH511</f>
        <v>6</v>
      </c>
      <c r="AD12">
        <f>'Geo &amp; CIC Deployment Plan'!AA511</f>
        <v>0</v>
      </c>
      <c r="AE12">
        <f>'Geo &amp; CIC Deployment Plan'!AA512</f>
        <v>6</v>
      </c>
      <c r="AF12">
        <f>'Geo &amp; CIC Deployment Plan'!AA513</f>
        <v>0</v>
      </c>
      <c r="AG12">
        <f>'Geo &amp; CIC Deployment Plan'!AA514</f>
        <v>0</v>
      </c>
    </row>
    <row r="13" spans="2:33">
      <c r="B13" s="1" t="s">
        <v>1289</v>
      </c>
      <c r="C13" s="1">
        <f>'Geo &amp; CIC Deployment Plan'!U522</f>
        <v>17</v>
      </c>
      <c r="D13" s="1" t="e">
        <f>'Geo &amp; CIC Deployment Plan'!#REF!</f>
        <v>#REF!</v>
      </c>
      <c r="E13" s="1">
        <f>'Geo &amp; CIC Deployment Plan'!U526</f>
        <v>26</v>
      </c>
      <c r="F13" s="1" t="e">
        <f>'Geo &amp; CIC Deployment Plan'!#REF!</f>
        <v>#REF!</v>
      </c>
      <c r="G13" s="11" t="e">
        <f>'Geo &amp; CIC Deployment Plan'!#REF!</f>
        <v>#REF!</v>
      </c>
      <c r="H13" s="7">
        <f>COUNTIFS('Geo &amp; CIC Deployment Plan'!F516:F520, "=Geo AP")</f>
        <v>5</v>
      </c>
      <c r="I13" s="4" t="s">
        <v>48</v>
      </c>
      <c r="J13" s="4" t="s">
        <v>48</v>
      </c>
      <c r="K13" s="4" t="s">
        <v>48</v>
      </c>
      <c r="L13" s="4" t="s">
        <v>48</v>
      </c>
      <c r="M13" s="4" t="s">
        <v>48</v>
      </c>
      <c r="N13" s="4" t="s">
        <v>48</v>
      </c>
      <c r="O13" s="4" t="s">
        <v>48</v>
      </c>
      <c r="P13" s="4" t="s">
        <v>48</v>
      </c>
      <c r="Q13" s="4" t="s">
        <v>48</v>
      </c>
      <c r="R13" s="4" t="s">
        <v>48</v>
      </c>
      <c r="S13" s="4" t="s">
        <v>48</v>
      </c>
      <c r="T13" s="4" t="s">
        <v>48</v>
      </c>
      <c r="U13" s="4" t="s">
        <v>48</v>
      </c>
      <c r="V13" s="11" t="e">
        <f>G13</f>
        <v>#REF!</v>
      </c>
      <c r="W13" s="4" t="s">
        <v>48</v>
      </c>
      <c r="X13" s="11" t="e">
        <f>G13</f>
        <v>#REF!</v>
      </c>
      <c r="Y13" s="6">
        <f>H13</f>
        <v>5</v>
      </c>
      <c r="Z13" t="str">
        <f>'Geo &amp; CIC Deployment Plan'!AG522</f>
        <v>New GBS Associates Induction</v>
      </c>
      <c r="AA13" t="str">
        <f>'Geo &amp; CIC Deployment Plan'!AG526</f>
        <v>New GBS Associates Induction</v>
      </c>
      <c r="AB13" t="str">
        <f>'Geo &amp; CIC Deployment Plan'!AH526</f>
        <v>Virtual</v>
      </c>
      <c r="AC13" t="str">
        <f>'Geo &amp; CIC Deployment Plan'!AH522</f>
        <v>Virtual</v>
      </c>
      <c r="AD13" t="str">
        <f>'Geo &amp; CIC Deployment Plan'!AA522</f>
        <v>In Progress</v>
      </c>
      <c r="AE13" t="e">
        <f>'Geo &amp; CIC Deployment Plan'!#REF!</f>
        <v>#REF!</v>
      </c>
      <c r="AF13" t="str">
        <f>'Geo &amp; CIC Deployment Plan'!AA526</f>
        <v>In Progress</v>
      </c>
      <c r="AG13" t="e">
        <f>'Geo &amp; CIC Deployment Plan'!#REF!</f>
        <v>#REF!</v>
      </c>
    </row>
    <row r="14" spans="2:33">
      <c r="B14" s="2" t="s">
        <v>225</v>
      </c>
      <c r="C14" s="2" t="e">
        <f t="shared" ref="C14:N14" si="1">SUM(C4:C13)</f>
        <v>#REF!</v>
      </c>
      <c r="D14" s="2" t="e">
        <f t="shared" si="1"/>
        <v>#REF!</v>
      </c>
      <c r="E14" s="2">
        <f t="shared" si="1"/>
        <v>26</v>
      </c>
      <c r="F14" s="2" t="e">
        <f t="shared" si="1"/>
        <v>#REF!</v>
      </c>
      <c r="G14" s="2" t="e">
        <f t="shared" si="1"/>
        <v>#REF!</v>
      </c>
      <c r="H14" s="5">
        <f t="shared" si="1"/>
        <v>58</v>
      </c>
      <c r="I14" s="2" t="e">
        <f t="shared" si="1"/>
        <v>#REF!</v>
      </c>
      <c r="J14" s="2">
        <f t="shared" si="1"/>
        <v>947</v>
      </c>
      <c r="K14" s="2">
        <f t="shared" si="1"/>
        <v>384</v>
      </c>
      <c r="L14" s="2">
        <f t="shared" si="1"/>
        <v>0</v>
      </c>
      <c r="M14" s="2" t="e">
        <f t="shared" si="1"/>
        <v>#REF!</v>
      </c>
      <c r="N14" s="5">
        <f t="shared" si="1"/>
        <v>180</v>
      </c>
      <c r="O14" s="2">
        <f t="shared" ref="O14:T14" si="2">SUM(O4:O11)</f>
        <v>0</v>
      </c>
      <c r="P14" s="2">
        <f t="shared" si="2"/>
        <v>0</v>
      </c>
      <c r="Q14" s="2">
        <f t="shared" si="2"/>
        <v>0</v>
      </c>
      <c r="R14" s="2">
        <f t="shared" si="2"/>
        <v>0</v>
      </c>
      <c r="S14" s="2">
        <f t="shared" si="2"/>
        <v>0</v>
      </c>
      <c r="T14" s="2">
        <f t="shared" si="2"/>
        <v>0</v>
      </c>
      <c r="U14" s="5">
        <f t="shared" ref="U14:AG14" si="3">SUM(U4:U13)</f>
        <v>0</v>
      </c>
      <c r="V14" s="5" t="e">
        <f t="shared" si="3"/>
        <v>#REF!</v>
      </c>
      <c r="W14" s="5" t="e">
        <f>SUM(W4:W13)</f>
        <v>#REF!</v>
      </c>
      <c r="X14" s="5" t="e">
        <f t="shared" si="3"/>
        <v>#REF!</v>
      </c>
      <c r="Y14" s="5">
        <f t="shared" si="3"/>
        <v>238</v>
      </c>
      <c r="Z14" s="5" t="e">
        <f t="shared" si="3"/>
        <v>#REF!</v>
      </c>
      <c r="AA14" s="5">
        <f t="shared" si="3"/>
        <v>0</v>
      </c>
      <c r="AB14" s="5">
        <f t="shared" si="3"/>
        <v>46</v>
      </c>
      <c r="AC14" s="5" t="e">
        <f t="shared" si="3"/>
        <v>#REF!</v>
      </c>
      <c r="AD14" s="5" t="e">
        <f t="shared" si="3"/>
        <v>#REF!</v>
      </c>
      <c r="AE14" s="5" t="e">
        <f t="shared" si="3"/>
        <v>#REF!</v>
      </c>
      <c r="AF14" s="5">
        <f t="shared" si="3"/>
        <v>4</v>
      </c>
      <c r="AG14" s="5" t="e">
        <f t="shared" si="3"/>
        <v>#REF!</v>
      </c>
    </row>
    <row r="16" spans="2:33">
      <c r="G16" s="19"/>
      <c r="H16" t="e">
        <f>C14+I14</f>
        <v>#REF!</v>
      </c>
    </row>
    <row r="17" spans="5:23">
      <c r="L17" t="e">
        <f>F14+E14+L14+K14</f>
        <v>#REF!</v>
      </c>
      <c r="W17">
        <f>2585+1036</f>
        <v>3621</v>
      </c>
    </row>
    <row r="18" spans="5:23">
      <c r="W18">
        <f>1011+1574+292+744</f>
        <v>3621</v>
      </c>
    </row>
    <row r="19" spans="5:23">
      <c r="E19" t="e">
        <f>C14+D14+I14+J14</f>
        <v>#REF!</v>
      </c>
    </row>
  </sheetData>
  <mergeCells count="5">
    <mergeCell ref="B2:B3"/>
    <mergeCell ref="C2:H2"/>
    <mergeCell ref="I2:N2"/>
    <mergeCell ref="O2:U2"/>
    <mergeCell ref="V2:Y2"/>
  </mergeCells>
  <phoneticPr fontId="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D7BB-CBFC-436B-9620-3F150FFA8B04}">
  <sheetPr codeName="Sheet4"/>
  <dimension ref="A1:I166"/>
  <sheetViews>
    <sheetView topLeftCell="C1" zoomScaleNormal="100" workbookViewId="0">
      <pane ySplit="1" topLeftCell="A160" activePane="bottomLeft" state="frozen"/>
      <selection pane="bottomLeft" activeCell="D167" sqref="D167"/>
    </sheetView>
  </sheetViews>
  <sheetFormatPr defaultColWidth="8.453125" defaultRowHeight="14.5"/>
  <cols>
    <col min="1" max="1" width="19.453125" style="117" customWidth="1"/>
    <col min="2" max="2" width="34.453125" style="107" customWidth="1"/>
    <col min="3" max="3" width="35.453125" style="14" bestFit="1" customWidth="1"/>
    <col min="4" max="4" width="33.453125" style="108" customWidth="1"/>
    <col min="5" max="5" width="26.453125" bestFit="1" customWidth="1"/>
    <col min="6" max="6" width="17.453125" style="106" bestFit="1" customWidth="1"/>
    <col min="7" max="7" width="44.453125" style="14" bestFit="1" customWidth="1"/>
    <col min="8" max="8" width="33.453125" style="106" customWidth="1"/>
    <col min="9" max="9" width="51.453125" style="106" bestFit="1" customWidth="1"/>
    <col min="10" max="16384" width="8.453125" style="14"/>
  </cols>
  <sheetData>
    <row r="1" spans="1:9" s="106" customFormat="1" ht="43.5">
      <c r="A1" s="117" t="s">
        <v>1290</v>
      </c>
      <c r="B1" s="120" t="s">
        <v>1291</v>
      </c>
      <c r="C1" s="104" t="s">
        <v>1292</v>
      </c>
      <c r="D1" s="105" t="s">
        <v>1293</v>
      </c>
      <c r="E1" s="104" t="s">
        <v>1294</v>
      </c>
      <c r="F1" s="104" t="s">
        <v>1295</v>
      </c>
      <c r="G1" s="104" t="s">
        <v>43</v>
      </c>
      <c r="H1" s="104" t="s">
        <v>1296</v>
      </c>
      <c r="I1" s="104" t="s">
        <v>1297</v>
      </c>
    </row>
    <row r="2" spans="1:9">
      <c r="A2" s="117" t="s">
        <v>1298</v>
      </c>
      <c r="B2" s="107" t="s">
        <v>1299</v>
      </c>
      <c r="C2" s="14" t="s">
        <v>1300</v>
      </c>
      <c r="D2" s="108">
        <v>44328</v>
      </c>
      <c r="F2" s="475">
        <v>22</v>
      </c>
      <c r="H2" s="475"/>
      <c r="I2" s="109">
        <v>44328</v>
      </c>
    </row>
    <row r="3" spans="1:9">
      <c r="A3" s="115">
        <v>10098298</v>
      </c>
      <c r="B3" s="107" t="s">
        <v>1299</v>
      </c>
      <c r="C3" s="14" t="s">
        <v>1301</v>
      </c>
      <c r="D3" s="108">
        <v>44376</v>
      </c>
      <c r="E3" t="s">
        <v>1302</v>
      </c>
      <c r="F3" s="475">
        <v>27</v>
      </c>
      <c r="H3" s="475"/>
      <c r="I3" s="109" t="s">
        <v>1303</v>
      </c>
    </row>
    <row r="4" spans="1:9">
      <c r="A4" s="117" t="s">
        <v>1298</v>
      </c>
      <c r="B4" s="107" t="s">
        <v>1304</v>
      </c>
      <c r="C4" s="14" t="s">
        <v>1300</v>
      </c>
      <c r="D4" s="108">
        <v>44314</v>
      </c>
      <c r="F4" s="475">
        <v>50</v>
      </c>
      <c r="G4" s="14" t="s">
        <v>1305</v>
      </c>
      <c r="H4" s="475"/>
      <c r="I4" s="110">
        <v>44314</v>
      </c>
    </row>
    <row r="5" spans="1:9">
      <c r="A5" s="121">
        <v>10099534</v>
      </c>
      <c r="B5" s="107" t="s">
        <v>1304</v>
      </c>
      <c r="C5" s="14" t="s">
        <v>1301</v>
      </c>
      <c r="D5" s="108">
        <v>44306</v>
      </c>
      <c r="E5" t="s">
        <v>1302</v>
      </c>
      <c r="F5" s="475">
        <v>32</v>
      </c>
      <c r="G5" s="14" t="s">
        <v>1305</v>
      </c>
      <c r="H5" s="475">
        <v>32</v>
      </c>
      <c r="I5" s="109" t="s">
        <v>1306</v>
      </c>
    </row>
    <row r="6" spans="1:9">
      <c r="A6" s="118">
        <v>10099024</v>
      </c>
      <c r="B6" s="107" t="s">
        <v>1307</v>
      </c>
      <c r="C6" s="14" t="s">
        <v>1300</v>
      </c>
      <c r="D6" s="108">
        <v>44295</v>
      </c>
      <c r="E6" t="s">
        <v>1308</v>
      </c>
      <c r="F6" s="475">
        <v>25</v>
      </c>
      <c r="G6" s="14" t="s">
        <v>1309</v>
      </c>
      <c r="H6" s="475">
        <v>25</v>
      </c>
      <c r="I6" s="113">
        <v>44295</v>
      </c>
    </row>
    <row r="7" spans="1:9">
      <c r="A7" s="118">
        <v>10099414</v>
      </c>
      <c r="B7" s="107" t="s">
        <v>1310</v>
      </c>
      <c r="C7" s="14" t="s">
        <v>1301</v>
      </c>
      <c r="D7" s="108">
        <v>44341</v>
      </c>
      <c r="E7" t="s">
        <v>1302</v>
      </c>
      <c r="F7" s="475">
        <v>18</v>
      </c>
      <c r="G7" s="14" t="s">
        <v>1309</v>
      </c>
      <c r="H7" s="475">
        <v>18</v>
      </c>
      <c r="I7" s="114">
        <v>44341</v>
      </c>
    </row>
    <row r="8" spans="1:9">
      <c r="A8" s="118">
        <v>10099416</v>
      </c>
      <c r="B8" s="107" t="s">
        <v>1310</v>
      </c>
      <c r="C8" s="14" t="s">
        <v>1301</v>
      </c>
      <c r="D8" s="108">
        <v>44375</v>
      </c>
      <c r="E8" t="s">
        <v>1302</v>
      </c>
      <c r="F8" s="475">
        <v>19</v>
      </c>
      <c r="G8" s="14" t="s">
        <v>1309</v>
      </c>
      <c r="H8" s="475">
        <v>19</v>
      </c>
      <c r="I8" s="114">
        <v>44375</v>
      </c>
    </row>
    <row r="9" spans="1:9">
      <c r="A9" s="118">
        <v>10099414</v>
      </c>
      <c r="B9" s="107" t="s">
        <v>1311</v>
      </c>
      <c r="C9" s="14" t="s">
        <v>1301</v>
      </c>
      <c r="D9" s="108">
        <v>44341</v>
      </c>
      <c r="E9" t="s">
        <v>1302</v>
      </c>
      <c r="F9" s="475">
        <v>20</v>
      </c>
      <c r="G9" s="14" t="s">
        <v>1309</v>
      </c>
      <c r="H9" s="475">
        <v>20</v>
      </c>
      <c r="I9" s="114">
        <v>44341</v>
      </c>
    </row>
    <row r="10" spans="1:9">
      <c r="A10" s="118">
        <v>10099416</v>
      </c>
      <c r="B10" s="107" t="s">
        <v>1311</v>
      </c>
      <c r="C10" s="14" t="s">
        <v>1301</v>
      </c>
      <c r="D10" s="108">
        <v>44375</v>
      </c>
      <c r="E10" t="s">
        <v>1302</v>
      </c>
      <c r="F10" s="475">
        <v>20</v>
      </c>
      <c r="G10" s="14" t="s">
        <v>1309</v>
      </c>
      <c r="H10" s="475">
        <v>20</v>
      </c>
      <c r="I10" s="114">
        <v>44375</v>
      </c>
    </row>
    <row r="11" spans="1:9">
      <c r="A11" s="118">
        <v>10099414</v>
      </c>
      <c r="B11" s="107" t="s">
        <v>1312</v>
      </c>
      <c r="C11" s="14" t="s">
        <v>1301</v>
      </c>
      <c r="D11" s="108">
        <v>44341</v>
      </c>
      <c r="E11" t="s">
        <v>1302</v>
      </c>
      <c r="F11" s="475">
        <v>15</v>
      </c>
      <c r="G11" s="14" t="s">
        <v>1309</v>
      </c>
      <c r="H11" s="475">
        <v>15</v>
      </c>
      <c r="I11" s="114">
        <v>44341</v>
      </c>
    </row>
    <row r="12" spans="1:9">
      <c r="A12" s="118">
        <v>10099416</v>
      </c>
      <c r="B12" s="107" t="s">
        <v>1312</v>
      </c>
      <c r="C12" s="14" t="s">
        <v>1301</v>
      </c>
      <c r="D12" s="108">
        <v>44375</v>
      </c>
      <c r="E12" t="s">
        <v>1302</v>
      </c>
      <c r="F12" s="475">
        <v>32</v>
      </c>
      <c r="G12" s="14" t="s">
        <v>1309</v>
      </c>
      <c r="H12" s="475">
        <v>32</v>
      </c>
      <c r="I12" s="114">
        <v>44375</v>
      </c>
    </row>
    <row r="13" spans="1:9">
      <c r="A13" s="117" t="s">
        <v>1298</v>
      </c>
      <c r="B13" s="107" t="s">
        <v>1286</v>
      </c>
      <c r="C13" s="14" t="s">
        <v>1300</v>
      </c>
      <c r="D13" s="108">
        <v>44298</v>
      </c>
      <c r="F13" s="475">
        <v>30</v>
      </c>
      <c r="G13" s="14" t="s">
        <v>1313</v>
      </c>
      <c r="H13" s="475"/>
      <c r="I13" s="110">
        <v>44298</v>
      </c>
    </row>
    <row r="14" spans="1:9">
      <c r="A14" s="117" t="s">
        <v>1298</v>
      </c>
      <c r="B14" s="107" t="s">
        <v>1286</v>
      </c>
      <c r="C14" s="14" t="s">
        <v>1300</v>
      </c>
      <c r="D14" s="108">
        <v>44300</v>
      </c>
      <c r="F14" s="475">
        <v>18</v>
      </c>
      <c r="G14" s="14" t="s">
        <v>1314</v>
      </c>
      <c r="H14" s="475"/>
      <c r="I14" s="110">
        <v>44300</v>
      </c>
    </row>
    <row r="15" spans="1:9">
      <c r="A15" s="117" t="s">
        <v>1298</v>
      </c>
      <c r="B15" s="107" t="s">
        <v>1286</v>
      </c>
      <c r="C15" s="14" t="s">
        <v>1300</v>
      </c>
      <c r="D15" s="108">
        <v>44300</v>
      </c>
      <c r="F15" s="475">
        <v>12</v>
      </c>
      <c r="G15" s="14" t="s">
        <v>1315</v>
      </c>
      <c r="H15" s="475"/>
      <c r="I15" s="110">
        <v>44300</v>
      </c>
    </row>
    <row r="16" spans="1:9">
      <c r="A16" s="121">
        <v>10099713</v>
      </c>
      <c r="B16" s="107" t="s">
        <v>1286</v>
      </c>
      <c r="C16" s="14" t="s">
        <v>1301</v>
      </c>
      <c r="D16" s="108">
        <v>44336</v>
      </c>
      <c r="E16" t="s">
        <v>1302</v>
      </c>
      <c r="F16" s="475">
        <v>46</v>
      </c>
      <c r="G16" s="14" t="s">
        <v>1314</v>
      </c>
      <c r="H16" s="513">
        <v>98</v>
      </c>
      <c r="I16" s="110" t="s">
        <v>1316</v>
      </c>
    </row>
    <row r="17" spans="1:9">
      <c r="A17" s="121">
        <v>10099822</v>
      </c>
      <c r="B17" s="107" t="s">
        <v>1286</v>
      </c>
      <c r="C17" s="14" t="s">
        <v>1301</v>
      </c>
      <c r="D17" s="108">
        <v>44336</v>
      </c>
      <c r="E17" t="s">
        <v>1302</v>
      </c>
      <c r="F17" s="475">
        <v>52</v>
      </c>
      <c r="G17" s="14" t="s">
        <v>1317</v>
      </c>
      <c r="H17" s="513"/>
      <c r="I17" s="110" t="s">
        <v>1316</v>
      </c>
    </row>
    <row r="18" spans="1:9">
      <c r="A18" s="115">
        <v>10099964</v>
      </c>
      <c r="B18" s="107" t="s">
        <v>1286</v>
      </c>
      <c r="C18" s="14" t="s">
        <v>1301</v>
      </c>
      <c r="D18" s="108">
        <v>44399</v>
      </c>
      <c r="E18" t="s">
        <v>1302</v>
      </c>
      <c r="F18" s="475">
        <v>59</v>
      </c>
      <c r="G18" s="14" t="s">
        <v>1318</v>
      </c>
      <c r="H18" s="475"/>
      <c r="I18" s="110" t="s">
        <v>1319</v>
      </c>
    </row>
    <row r="19" spans="1:9">
      <c r="A19" s="115">
        <v>10099286</v>
      </c>
      <c r="B19" s="107" t="s">
        <v>1289</v>
      </c>
      <c r="C19" s="14" t="s">
        <v>1300</v>
      </c>
      <c r="D19" s="108">
        <v>44298</v>
      </c>
      <c r="F19" s="475">
        <v>23</v>
      </c>
      <c r="H19" s="475"/>
      <c r="I19" s="475" t="s">
        <v>1320</v>
      </c>
    </row>
    <row r="20" spans="1:9">
      <c r="A20" s="115">
        <v>10098118</v>
      </c>
      <c r="B20" s="107" t="s">
        <v>1289</v>
      </c>
      <c r="C20" s="14" t="s">
        <v>1301</v>
      </c>
      <c r="D20" s="108">
        <v>44305</v>
      </c>
      <c r="E20" t="s">
        <v>1302</v>
      </c>
      <c r="F20" s="475">
        <v>23</v>
      </c>
      <c r="G20" s="14" t="s">
        <v>80</v>
      </c>
      <c r="H20" s="475">
        <v>26</v>
      </c>
      <c r="I20" s="110" t="s">
        <v>1321</v>
      </c>
    </row>
    <row r="21" spans="1:9">
      <c r="A21" s="117" t="s">
        <v>1298</v>
      </c>
      <c r="B21" s="107" t="s">
        <v>1322</v>
      </c>
      <c r="C21" s="14" t="s">
        <v>1300</v>
      </c>
      <c r="D21" s="108">
        <v>44300</v>
      </c>
      <c r="F21" s="475">
        <v>260</v>
      </c>
      <c r="G21" s="14" t="s">
        <v>1323</v>
      </c>
      <c r="H21" s="475"/>
      <c r="I21" s="110">
        <v>44300</v>
      </c>
    </row>
    <row r="22" spans="1:9">
      <c r="A22" s="117" t="s">
        <v>1298</v>
      </c>
      <c r="B22" s="107" t="s">
        <v>1322</v>
      </c>
      <c r="C22" s="14" t="s">
        <v>1300</v>
      </c>
      <c r="D22" s="108">
        <v>44302</v>
      </c>
      <c r="F22" s="475">
        <v>260</v>
      </c>
      <c r="G22" s="14" t="s">
        <v>1323</v>
      </c>
      <c r="H22" s="475"/>
      <c r="I22" s="110">
        <v>44302</v>
      </c>
    </row>
    <row r="23" spans="1:9">
      <c r="A23" s="117" t="s">
        <v>1298</v>
      </c>
      <c r="B23" s="107" t="s">
        <v>1322</v>
      </c>
      <c r="C23" s="14" t="s">
        <v>1300</v>
      </c>
      <c r="D23" s="108">
        <v>44524</v>
      </c>
      <c r="F23" s="475">
        <v>20</v>
      </c>
      <c r="G23" s="14" t="s">
        <v>1324</v>
      </c>
      <c r="H23" s="475"/>
      <c r="I23" s="110"/>
    </row>
    <row r="24" spans="1:9">
      <c r="A24" s="121">
        <v>10101105</v>
      </c>
      <c r="B24" s="107" t="s">
        <v>1322</v>
      </c>
      <c r="C24" s="14" t="s">
        <v>1301</v>
      </c>
      <c r="D24" s="108">
        <v>44361</v>
      </c>
      <c r="E24" t="s">
        <v>1302</v>
      </c>
      <c r="F24" s="475">
        <v>48</v>
      </c>
      <c r="G24" s="14" t="s">
        <v>1325</v>
      </c>
      <c r="H24" s="475"/>
      <c r="I24" s="110" t="s">
        <v>1326</v>
      </c>
    </row>
    <row r="25" spans="1:9">
      <c r="A25" s="121">
        <v>10101106</v>
      </c>
      <c r="B25" s="107" t="s">
        <v>1322</v>
      </c>
      <c r="C25" s="14" t="s">
        <v>1301</v>
      </c>
      <c r="D25" s="108">
        <v>44378</v>
      </c>
      <c r="E25" t="s">
        <v>1302</v>
      </c>
      <c r="F25" s="475">
        <v>96</v>
      </c>
      <c r="G25" s="14" t="s">
        <v>1327</v>
      </c>
      <c r="H25" s="475"/>
      <c r="I25" s="110" t="s">
        <v>1328</v>
      </c>
    </row>
    <row r="26" spans="1:9">
      <c r="A26" s="115">
        <v>10101107</v>
      </c>
      <c r="B26" s="107" t="s">
        <v>1322</v>
      </c>
      <c r="C26" s="14" t="s">
        <v>1301</v>
      </c>
      <c r="D26" s="108">
        <v>44389</v>
      </c>
      <c r="E26" t="s">
        <v>1302</v>
      </c>
      <c r="F26" s="475">
        <v>96</v>
      </c>
      <c r="G26" s="14" t="s">
        <v>1327</v>
      </c>
      <c r="H26" s="475"/>
      <c r="I26" s="110" t="s">
        <v>1329</v>
      </c>
    </row>
    <row r="27" spans="1:9">
      <c r="A27" s="115">
        <v>10101108</v>
      </c>
      <c r="B27" s="107" t="s">
        <v>1322</v>
      </c>
      <c r="C27" s="14" t="s">
        <v>1301</v>
      </c>
      <c r="D27" s="108">
        <v>44405</v>
      </c>
      <c r="E27" t="s">
        <v>1302</v>
      </c>
      <c r="F27" s="475">
        <v>96</v>
      </c>
      <c r="G27" s="14" t="s">
        <v>1327</v>
      </c>
      <c r="H27" s="475"/>
      <c r="I27" s="110" t="s">
        <v>1330</v>
      </c>
    </row>
    <row r="28" spans="1:9">
      <c r="A28" s="115">
        <v>10101109</v>
      </c>
      <c r="B28" s="107" t="s">
        <v>1322</v>
      </c>
      <c r="C28" s="14" t="s">
        <v>1301</v>
      </c>
      <c r="D28" s="108">
        <v>44432</v>
      </c>
      <c r="E28" t="s">
        <v>1302</v>
      </c>
      <c r="F28" s="475">
        <v>96</v>
      </c>
      <c r="G28" s="14" t="s">
        <v>1327</v>
      </c>
      <c r="H28" s="475"/>
      <c r="I28" s="110" t="s">
        <v>1331</v>
      </c>
    </row>
    <row r="29" spans="1:9">
      <c r="A29" s="115">
        <v>10101110</v>
      </c>
      <c r="B29" s="107" t="s">
        <v>1322</v>
      </c>
      <c r="C29" s="14" t="s">
        <v>1301</v>
      </c>
      <c r="D29" s="108">
        <v>44441</v>
      </c>
      <c r="E29" t="s">
        <v>1302</v>
      </c>
      <c r="F29" s="475">
        <v>96</v>
      </c>
      <c r="G29" s="14" t="s">
        <v>1327</v>
      </c>
      <c r="H29" s="475"/>
      <c r="I29" s="110" t="s">
        <v>1332</v>
      </c>
    </row>
    <row r="30" spans="1:9">
      <c r="A30" s="115">
        <v>10217399</v>
      </c>
      <c r="B30" s="107" t="s">
        <v>1322</v>
      </c>
      <c r="C30" s="14" t="s">
        <v>1301</v>
      </c>
      <c r="D30" s="108">
        <v>44530</v>
      </c>
      <c r="E30" t="s">
        <v>1302</v>
      </c>
      <c r="F30" s="475">
        <v>20</v>
      </c>
      <c r="G30" s="14" t="s">
        <v>1327</v>
      </c>
      <c r="H30" s="475"/>
      <c r="I30" s="110"/>
    </row>
    <row r="31" spans="1:9">
      <c r="A31" s="117" t="s">
        <v>1298</v>
      </c>
      <c r="B31" s="107" t="s">
        <v>46</v>
      </c>
      <c r="C31" s="14" t="s">
        <v>1300</v>
      </c>
      <c r="D31" s="108">
        <v>44298</v>
      </c>
      <c r="F31" s="475">
        <v>700</v>
      </c>
      <c r="G31" s="14" t="s">
        <v>1333</v>
      </c>
      <c r="H31" s="475"/>
      <c r="I31" s="110" t="s">
        <v>1334</v>
      </c>
    </row>
    <row r="32" spans="1:9">
      <c r="A32" s="115">
        <v>10100667</v>
      </c>
      <c r="B32" s="107" t="s">
        <v>46</v>
      </c>
      <c r="C32" s="14" t="s">
        <v>1301</v>
      </c>
      <c r="D32" s="108">
        <v>44319</v>
      </c>
      <c r="E32" t="s">
        <v>1302</v>
      </c>
      <c r="F32" s="475">
        <v>80</v>
      </c>
      <c r="G32" s="14" t="s">
        <v>1333</v>
      </c>
      <c r="H32" s="475">
        <v>9</v>
      </c>
      <c r="I32" s="475" t="s">
        <v>1335</v>
      </c>
    </row>
    <row r="33" spans="1:9">
      <c r="A33" s="117" t="s">
        <v>1298</v>
      </c>
      <c r="B33" s="107" t="s">
        <v>1336</v>
      </c>
      <c r="C33" s="14" t="s">
        <v>1300</v>
      </c>
      <c r="D33" s="108">
        <v>44298</v>
      </c>
      <c r="F33" s="475">
        <v>27</v>
      </c>
      <c r="H33" s="475"/>
      <c r="I33" s="475" t="s">
        <v>1337</v>
      </c>
    </row>
    <row r="34" spans="1:9">
      <c r="A34" s="117" t="s">
        <v>1298</v>
      </c>
      <c r="B34" s="107" t="s">
        <v>1338</v>
      </c>
      <c r="C34" s="14" t="s">
        <v>1300</v>
      </c>
      <c r="D34" s="108">
        <v>44298</v>
      </c>
      <c r="F34" s="475">
        <v>25</v>
      </c>
      <c r="H34" s="475"/>
      <c r="I34" s="475" t="s">
        <v>1337</v>
      </c>
    </row>
    <row r="35" spans="1:9">
      <c r="A35" s="115" t="s">
        <v>1339</v>
      </c>
      <c r="B35" s="107" t="s">
        <v>1338</v>
      </c>
      <c r="C35" s="14" t="s">
        <v>1301</v>
      </c>
      <c r="D35" s="108">
        <v>44355</v>
      </c>
      <c r="E35" t="s">
        <v>1302</v>
      </c>
      <c r="F35" s="475">
        <v>35</v>
      </c>
      <c r="H35" s="513">
        <v>1</v>
      </c>
      <c r="I35" s="475" t="s">
        <v>1340</v>
      </c>
    </row>
    <row r="36" spans="1:9">
      <c r="A36" s="115">
        <v>10101450</v>
      </c>
      <c r="B36" s="107" t="s">
        <v>1336</v>
      </c>
      <c r="C36" s="14" t="s">
        <v>1301</v>
      </c>
      <c r="D36" s="108">
        <v>44353</v>
      </c>
      <c r="E36" t="s">
        <v>1302</v>
      </c>
      <c r="F36" s="475">
        <v>28</v>
      </c>
      <c r="H36" s="513"/>
      <c r="I36" s="475" t="s">
        <v>1341</v>
      </c>
    </row>
    <row r="37" spans="1:9">
      <c r="A37" s="117" t="s">
        <v>1298</v>
      </c>
      <c r="B37" s="107" t="s">
        <v>1336</v>
      </c>
      <c r="C37" s="14" t="s">
        <v>1300</v>
      </c>
      <c r="D37" s="108">
        <v>44431</v>
      </c>
      <c r="F37" s="475">
        <v>117</v>
      </c>
      <c r="G37" s="14" t="s">
        <v>1342</v>
      </c>
      <c r="H37" s="475"/>
      <c r="I37" s="475" t="s">
        <v>1343</v>
      </c>
    </row>
    <row r="38" spans="1:9">
      <c r="A38" s="117" t="s">
        <v>1298</v>
      </c>
      <c r="B38" s="107" t="s">
        <v>1338</v>
      </c>
      <c r="C38" s="14" t="s">
        <v>1300</v>
      </c>
      <c r="D38" s="108">
        <v>44431</v>
      </c>
      <c r="F38" s="475">
        <v>154</v>
      </c>
      <c r="G38" s="14" t="s">
        <v>1342</v>
      </c>
      <c r="H38" s="475"/>
      <c r="I38" s="475" t="s">
        <v>1343</v>
      </c>
    </row>
    <row r="39" spans="1:9">
      <c r="A39" s="118">
        <v>10227248</v>
      </c>
      <c r="B39" s="107" t="s">
        <v>1338</v>
      </c>
      <c r="C39" s="14" t="s">
        <v>1301</v>
      </c>
      <c r="D39" s="108">
        <v>44527</v>
      </c>
      <c r="E39" t="s">
        <v>1344</v>
      </c>
      <c r="F39" s="475">
        <v>75</v>
      </c>
      <c r="G39" s="14" t="s">
        <v>1327</v>
      </c>
      <c r="H39" s="475"/>
      <c r="I39" s="475" t="s">
        <v>1345</v>
      </c>
    </row>
    <row r="40" spans="1:9" ht="29">
      <c r="A40" s="118">
        <v>10236151</v>
      </c>
      <c r="B40" s="107" t="s">
        <v>1336</v>
      </c>
      <c r="C40" s="14" t="s">
        <v>1301</v>
      </c>
      <c r="D40" s="108">
        <v>44534</v>
      </c>
      <c r="E40" t="s">
        <v>1344</v>
      </c>
      <c r="F40" s="475">
        <v>79</v>
      </c>
      <c r="G40" s="14" t="s">
        <v>1327</v>
      </c>
      <c r="H40" s="475"/>
      <c r="I40" s="475" t="s">
        <v>1346</v>
      </c>
    </row>
    <row r="41" spans="1:9">
      <c r="A41" s="117" t="s">
        <v>1298</v>
      </c>
      <c r="B41" s="107" t="s">
        <v>46</v>
      </c>
      <c r="C41" s="14" t="s">
        <v>1300</v>
      </c>
      <c r="D41" s="111">
        <v>44431</v>
      </c>
      <c r="F41" s="475">
        <v>800</v>
      </c>
      <c r="G41" s="14" t="s">
        <v>1342</v>
      </c>
      <c r="H41" s="475"/>
      <c r="I41" s="475" t="s">
        <v>1347</v>
      </c>
    </row>
    <row r="42" spans="1:9">
      <c r="A42" s="115">
        <v>10101545</v>
      </c>
      <c r="B42" s="107" t="s">
        <v>46</v>
      </c>
      <c r="C42" s="14" t="s">
        <v>1301</v>
      </c>
      <c r="D42" s="108">
        <v>44354</v>
      </c>
      <c r="E42" t="s">
        <v>1302</v>
      </c>
      <c r="F42" s="475">
        <v>100</v>
      </c>
      <c r="G42" s="14" t="s">
        <v>1333</v>
      </c>
      <c r="H42" s="475"/>
      <c r="I42" s="110" t="s">
        <v>1348</v>
      </c>
    </row>
    <row r="43" spans="1:9">
      <c r="A43" s="117" t="s">
        <v>1298</v>
      </c>
      <c r="B43" s="107" t="s">
        <v>1349</v>
      </c>
      <c r="C43" s="14" t="s">
        <v>1301</v>
      </c>
      <c r="D43" s="108">
        <v>44461</v>
      </c>
      <c r="E43" t="s">
        <v>1302</v>
      </c>
      <c r="F43" s="475">
        <v>18</v>
      </c>
      <c r="G43" s="14" t="s">
        <v>1350</v>
      </c>
      <c r="H43" s="475"/>
      <c r="I43" s="110" t="s">
        <v>829</v>
      </c>
    </row>
    <row r="44" spans="1:9">
      <c r="A44" s="117" t="s">
        <v>1298</v>
      </c>
      <c r="B44" s="107" t="s">
        <v>1299</v>
      </c>
      <c r="C44" s="14" t="s">
        <v>1300</v>
      </c>
      <c r="D44" s="108">
        <v>44510</v>
      </c>
      <c r="F44" s="475">
        <v>150</v>
      </c>
      <c r="H44" s="475"/>
      <c r="I44" s="109">
        <v>44510</v>
      </c>
    </row>
    <row r="45" spans="1:9">
      <c r="A45" s="122">
        <v>10226726</v>
      </c>
      <c r="B45" s="107" t="s">
        <v>1299</v>
      </c>
      <c r="C45" s="14" t="s">
        <v>1301</v>
      </c>
      <c r="D45" s="108">
        <v>44538</v>
      </c>
      <c r="E45" t="s">
        <v>1344</v>
      </c>
      <c r="F45" s="475">
        <v>50</v>
      </c>
      <c r="G45" s="14" t="s">
        <v>1333</v>
      </c>
      <c r="H45" s="475"/>
      <c r="I45" s="109">
        <v>44538</v>
      </c>
    </row>
    <row r="46" spans="1:9">
      <c r="A46" s="122">
        <v>10226731</v>
      </c>
      <c r="B46" s="107" t="s">
        <v>1299</v>
      </c>
      <c r="C46" s="14" t="s">
        <v>1301</v>
      </c>
      <c r="D46" s="108">
        <v>44539</v>
      </c>
      <c r="E46" t="s">
        <v>1344</v>
      </c>
      <c r="F46" s="475">
        <v>50</v>
      </c>
      <c r="G46" s="14" t="s">
        <v>1333</v>
      </c>
      <c r="H46" s="475"/>
      <c r="I46" s="109">
        <v>44539</v>
      </c>
    </row>
    <row r="47" spans="1:9">
      <c r="A47" s="122">
        <v>10226746</v>
      </c>
      <c r="B47" s="107" t="s">
        <v>1299</v>
      </c>
      <c r="C47" s="14" t="s">
        <v>1301</v>
      </c>
      <c r="D47" s="108">
        <v>44543</v>
      </c>
      <c r="E47" t="s">
        <v>1344</v>
      </c>
      <c r="F47" s="475">
        <v>50</v>
      </c>
      <c r="G47" s="14" t="s">
        <v>1333</v>
      </c>
      <c r="H47" s="475"/>
      <c r="I47" s="109">
        <v>44543</v>
      </c>
    </row>
    <row r="48" spans="1:9">
      <c r="A48" s="117" t="s">
        <v>1298</v>
      </c>
      <c r="B48" s="107" t="s">
        <v>1304</v>
      </c>
      <c r="C48" s="14" t="s">
        <v>1300</v>
      </c>
      <c r="D48" s="108">
        <v>44501</v>
      </c>
      <c r="F48" s="475">
        <v>50</v>
      </c>
      <c r="H48" s="475"/>
      <c r="I48" s="110" t="s">
        <v>1351</v>
      </c>
    </row>
    <row r="49" spans="1:9">
      <c r="A49" s="122">
        <v>10227927</v>
      </c>
      <c r="B49" s="107" t="s">
        <v>1304</v>
      </c>
      <c r="C49" s="14" t="s">
        <v>1301</v>
      </c>
      <c r="D49" s="108">
        <v>44536</v>
      </c>
      <c r="E49" t="s">
        <v>1344</v>
      </c>
      <c r="F49" s="475">
        <v>50</v>
      </c>
      <c r="G49" s="14" t="s">
        <v>1352</v>
      </c>
      <c r="H49" s="475"/>
      <c r="I49" s="109">
        <v>44536</v>
      </c>
    </row>
    <row r="50" spans="1:9">
      <c r="A50" s="118">
        <v>10220331</v>
      </c>
      <c r="B50" s="107" t="s">
        <v>1307</v>
      </c>
      <c r="C50" s="14" t="s">
        <v>1300</v>
      </c>
      <c r="D50" s="108">
        <v>44510</v>
      </c>
      <c r="E50" t="s">
        <v>1353</v>
      </c>
      <c r="F50" s="475">
        <v>100</v>
      </c>
      <c r="G50" s="14" t="s">
        <v>1309</v>
      </c>
      <c r="H50" s="475">
        <v>100</v>
      </c>
      <c r="I50" s="113">
        <v>44510</v>
      </c>
    </row>
    <row r="51" spans="1:9">
      <c r="A51" s="118">
        <v>10226091</v>
      </c>
      <c r="B51" s="107" t="s">
        <v>1310</v>
      </c>
      <c r="C51" s="14" t="s">
        <v>1301</v>
      </c>
      <c r="D51" s="108">
        <v>44533</v>
      </c>
      <c r="E51" t="s">
        <v>1344</v>
      </c>
      <c r="F51" s="475">
        <v>53</v>
      </c>
      <c r="G51" s="14" t="s">
        <v>1309</v>
      </c>
      <c r="H51" s="475">
        <v>53</v>
      </c>
      <c r="I51" s="114">
        <v>44533</v>
      </c>
    </row>
    <row r="52" spans="1:9">
      <c r="A52" s="118">
        <v>10229366</v>
      </c>
      <c r="B52" s="107" t="s">
        <v>1310</v>
      </c>
      <c r="C52" s="14" t="s">
        <v>1301</v>
      </c>
      <c r="D52" s="108">
        <v>44539</v>
      </c>
      <c r="E52" t="s">
        <v>1344</v>
      </c>
      <c r="F52" s="475">
        <v>10</v>
      </c>
      <c r="G52" s="14" t="s">
        <v>1309</v>
      </c>
      <c r="H52" s="475">
        <v>10</v>
      </c>
      <c r="I52" s="114">
        <v>44539</v>
      </c>
    </row>
    <row r="53" spans="1:9">
      <c r="A53" s="118">
        <v>10226091</v>
      </c>
      <c r="B53" s="107" t="s">
        <v>1311</v>
      </c>
      <c r="C53" s="14" t="s">
        <v>1301</v>
      </c>
      <c r="D53" s="108">
        <v>44533</v>
      </c>
      <c r="E53" t="s">
        <v>1344</v>
      </c>
      <c r="F53" s="475">
        <v>8</v>
      </c>
      <c r="G53" s="14" t="s">
        <v>1309</v>
      </c>
      <c r="H53" s="475">
        <v>8</v>
      </c>
      <c r="I53" s="114">
        <v>44533</v>
      </c>
    </row>
    <row r="54" spans="1:9">
      <c r="A54" s="118">
        <v>10229366</v>
      </c>
      <c r="B54" s="107" t="s">
        <v>1311</v>
      </c>
      <c r="C54" s="14" t="s">
        <v>1301</v>
      </c>
      <c r="D54" s="108">
        <v>44539</v>
      </c>
      <c r="E54" t="s">
        <v>1344</v>
      </c>
      <c r="F54" s="475">
        <v>3</v>
      </c>
      <c r="G54" s="14" t="s">
        <v>1309</v>
      </c>
      <c r="H54" s="475">
        <v>3</v>
      </c>
      <c r="I54" s="114">
        <v>44539</v>
      </c>
    </row>
    <row r="55" spans="1:9">
      <c r="A55" s="118">
        <v>10226091</v>
      </c>
      <c r="B55" s="107" t="s">
        <v>1312</v>
      </c>
      <c r="C55" s="14" t="s">
        <v>1301</v>
      </c>
      <c r="D55" s="108">
        <v>44533</v>
      </c>
      <c r="E55" t="s">
        <v>1344</v>
      </c>
      <c r="F55" s="475">
        <v>6</v>
      </c>
      <c r="G55" s="14" t="s">
        <v>1309</v>
      </c>
      <c r="H55" s="475">
        <v>6</v>
      </c>
      <c r="I55" s="114">
        <v>44533</v>
      </c>
    </row>
    <row r="56" spans="1:9">
      <c r="A56" s="118">
        <v>10229366</v>
      </c>
      <c r="B56" s="107" t="s">
        <v>1354</v>
      </c>
      <c r="C56" s="14" t="s">
        <v>1301</v>
      </c>
      <c r="D56" s="108">
        <v>44538</v>
      </c>
      <c r="E56" t="s">
        <v>1344</v>
      </c>
      <c r="F56" s="475">
        <v>40</v>
      </c>
      <c r="G56" s="14" t="s">
        <v>1355</v>
      </c>
      <c r="H56" s="475"/>
      <c r="I56" s="110">
        <v>44538</v>
      </c>
    </row>
    <row r="57" spans="1:9">
      <c r="A57" s="118">
        <v>10226095</v>
      </c>
      <c r="B57" s="107" t="s">
        <v>1310</v>
      </c>
      <c r="C57" s="14" t="s">
        <v>1301</v>
      </c>
      <c r="D57" s="108">
        <v>44540</v>
      </c>
      <c r="E57" t="s">
        <v>1344</v>
      </c>
      <c r="F57" s="475">
        <v>32</v>
      </c>
      <c r="G57" s="14" t="s">
        <v>1309</v>
      </c>
      <c r="H57" s="475">
        <v>32</v>
      </c>
      <c r="I57" s="114">
        <v>44540</v>
      </c>
    </row>
    <row r="58" spans="1:9">
      <c r="A58" s="118">
        <v>10226095</v>
      </c>
      <c r="B58" s="107" t="s">
        <v>1311</v>
      </c>
      <c r="C58" s="14" t="s">
        <v>1301</v>
      </c>
      <c r="D58" s="108">
        <v>44540</v>
      </c>
      <c r="E58" t="s">
        <v>1344</v>
      </c>
      <c r="F58" s="475">
        <v>24</v>
      </c>
      <c r="G58" s="14" t="s">
        <v>1309</v>
      </c>
      <c r="H58" s="475">
        <v>24</v>
      </c>
      <c r="I58" s="114">
        <v>44540</v>
      </c>
    </row>
    <row r="59" spans="1:9">
      <c r="A59" s="118">
        <v>10226095</v>
      </c>
      <c r="B59" s="107" t="s">
        <v>1312</v>
      </c>
      <c r="C59" s="14" t="s">
        <v>1301</v>
      </c>
      <c r="D59" s="108">
        <v>44540</v>
      </c>
      <c r="E59" t="s">
        <v>1344</v>
      </c>
      <c r="F59" s="475">
        <v>7</v>
      </c>
      <c r="G59" s="14" t="s">
        <v>1309</v>
      </c>
      <c r="H59" s="475">
        <v>7</v>
      </c>
      <c r="I59" s="114">
        <v>44540</v>
      </c>
    </row>
    <row r="60" spans="1:9">
      <c r="A60" s="115">
        <v>10225267</v>
      </c>
      <c r="B60" s="107" t="s">
        <v>1289</v>
      </c>
      <c r="C60" s="14" t="s">
        <v>1300</v>
      </c>
      <c r="D60" s="108">
        <v>44508</v>
      </c>
      <c r="E60" t="s">
        <v>1308</v>
      </c>
      <c r="F60" s="475">
        <v>40</v>
      </c>
      <c r="G60" s="14" t="s">
        <v>766</v>
      </c>
      <c r="H60" s="475"/>
      <c r="I60" s="475" t="s">
        <v>1356</v>
      </c>
    </row>
    <row r="61" spans="1:9">
      <c r="A61" s="115">
        <v>10225112</v>
      </c>
      <c r="B61" s="107" t="s">
        <v>1289</v>
      </c>
      <c r="C61" s="14" t="s">
        <v>1301</v>
      </c>
      <c r="D61" s="108">
        <v>44517</v>
      </c>
      <c r="E61" t="s">
        <v>1344</v>
      </c>
      <c r="F61" s="475">
        <v>40</v>
      </c>
      <c r="G61" s="14" t="s">
        <v>1333</v>
      </c>
      <c r="H61" s="475">
        <v>26</v>
      </c>
      <c r="I61" s="475" t="s">
        <v>1356</v>
      </c>
    </row>
    <row r="62" spans="1:9">
      <c r="A62" s="121">
        <v>10238518</v>
      </c>
      <c r="B62" s="107" t="s">
        <v>46</v>
      </c>
      <c r="C62" s="14" t="s">
        <v>1301</v>
      </c>
      <c r="D62" s="108">
        <v>44581</v>
      </c>
      <c r="E62" t="s">
        <v>1344</v>
      </c>
      <c r="F62" s="475">
        <v>200</v>
      </c>
      <c r="G62" s="14" t="s">
        <v>766</v>
      </c>
      <c r="H62" s="475"/>
      <c r="I62" s="110" t="s">
        <v>796</v>
      </c>
    </row>
    <row r="63" spans="1:9">
      <c r="A63" s="116">
        <v>10228269</v>
      </c>
      <c r="B63" s="107" t="s">
        <v>1349</v>
      </c>
      <c r="C63" s="14" t="s">
        <v>1301</v>
      </c>
      <c r="D63" s="108">
        <v>44539</v>
      </c>
      <c r="E63" t="s">
        <v>1344</v>
      </c>
      <c r="F63" s="475">
        <v>21</v>
      </c>
      <c r="G63" s="14" t="s">
        <v>1357</v>
      </c>
      <c r="H63" s="475"/>
      <c r="I63" s="475"/>
    </row>
    <row r="64" spans="1:9">
      <c r="A64" s="115" t="s">
        <v>1298</v>
      </c>
      <c r="F64" s="475"/>
      <c r="H64" s="475"/>
      <c r="I64" s="475"/>
    </row>
    <row r="65" spans="1:9">
      <c r="A65" s="118">
        <v>10254880</v>
      </c>
      <c r="B65" s="107" t="s">
        <v>1307</v>
      </c>
      <c r="C65" s="14" t="s">
        <v>1300</v>
      </c>
      <c r="D65" s="108">
        <v>44678</v>
      </c>
      <c r="E65" t="s">
        <v>1308</v>
      </c>
      <c r="F65" s="475">
        <v>33</v>
      </c>
      <c r="G65" s="14" t="s">
        <v>1309</v>
      </c>
      <c r="H65" s="475">
        <v>33</v>
      </c>
      <c r="I65" s="113">
        <v>44678</v>
      </c>
    </row>
    <row r="66" spans="1:9" s="381" customFormat="1" ht="13">
      <c r="A66" s="380">
        <v>10236260</v>
      </c>
      <c r="B66" s="381" t="s">
        <v>1311</v>
      </c>
      <c r="C66" s="381" t="s">
        <v>1301</v>
      </c>
      <c r="D66" s="382">
        <v>44644</v>
      </c>
      <c r="E66" s="383" t="s">
        <v>1344</v>
      </c>
      <c r="F66" s="384">
        <v>1</v>
      </c>
      <c r="G66" s="381" t="s">
        <v>1309</v>
      </c>
      <c r="H66" s="384">
        <v>1</v>
      </c>
      <c r="I66" s="385">
        <v>44644</v>
      </c>
    </row>
    <row r="67" spans="1:9" s="381" customFormat="1" ht="13">
      <c r="A67" s="380">
        <v>10236260</v>
      </c>
      <c r="B67" s="381" t="s">
        <v>1312</v>
      </c>
      <c r="C67" s="381" t="s">
        <v>1301</v>
      </c>
      <c r="D67" s="382">
        <v>44644</v>
      </c>
      <c r="E67" s="383" t="s">
        <v>1344</v>
      </c>
      <c r="F67" s="384">
        <v>16</v>
      </c>
      <c r="G67" s="381" t="s">
        <v>1309</v>
      </c>
      <c r="H67" s="384">
        <v>16</v>
      </c>
      <c r="I67" s="385">
        <v>44644</v>
      </c>
    </row>
    <row r="68" spans="1:9" s="381" customFormat="1" ht="13">
      <c r="A68" s="380">
        <v>10236260</v>
      </c>
      <c r="B68" s="381" t="s">
        <v>1310</v>
      </c>
      <c r="C68" s="381" t="s">
        <v>1301</v>
      </c>
      <c r="D68" s="382">
        <v>44644</v>
      </c>
      <c r="E68" s="383" t="s">
        <v>1344</v>
      </c>
      <c r="F68" s="384">
        <v>17</v>
      </c>
      <c r="G68" s="381" t="s">
        <v>1309</v>
      </c>
      <c r="H68" s="384">
        <v>17</v>
      </c>
      <c r="I68" s="385">
        <v>44644</v>
      </c>
    </row>
    <row r="69" spans="1:9" s="381" customFormat="1" ht="13">
      <c r="A69" s="380">
        <v>10236119</v>
      </c>
      <c r="B69" s="381" t="s">
        <v>1311</v>
      </c>
      <c r="C69" s="381" t="s">
        <v>1301</v>
      </c>
      <c r="D69" s="382">
        <v>44645</v>
      </c>
      <c r="E69" s="383" t="s">
        <v>1344</v>
      </c>
      <c r="F69" s="384">
        <v>5</v>
      </c>
      <c r="G69" s="381" t="s">
        <v>1309</v>
      </c>
      <c r="H69" s="384">
        <v>5</v>
      </c>
      <c r="I69" s="386">
        <v>44645</v>
      </c>
    </row>
    <row r="70" spans="1:9" s="381" customFormat="1" ht="13">
      <c r="A70" s="380">
        <v>10236119</v>
      </c>
      <c r="B70" s="381" t="s">
        <v>1312</v>
      </c>
      <c r="C70" s="381" t="s">
        <v>1301</v>
      </c>
      <c r="D70" s="382">
        <v>44645</v>
      </c>
      <c r="E70" s="383" t="s">
        <v>1344</v>
      </c>
      <c r="F70" s="384">
        <v>13</v>
      </c>
      <c r="G70" s="381" t="s">
        <v>1309</v>
      </c>
      <c r="H70" s="384">
        <v>13</v>
      </c>
      <c r="I70" s="386">
        <v>44645</v>
      </c>
    </row>
    <row r="71" spans="1:9" s="381" customFormat="1" ht="13">
      <c r="A71" s="380">
        <v>10236119</v>
      </c>
      <c r="B71" s="381" t="s">
        <v>1310</v>
      </c>
      <c r="C71" s="381" t="s">
        <v>1301</v>
      </c>
      <c r="D71" s="382">
        <v>44645</v>
      </c>
      <c r="E71" s="383" t="s">
        <v>1344</v>
      </c>
      <c r="F71" s="384">
        <v>20</v>
      </c>
      <c r="G71" s="381" t="s">
        <v>1309</v>
      </c>
      <c r="H71" s="384">
        <v>20</v>
      </c>
      <c r="I71" s="386">
        <v>44645</v>
      </c>
    </row>
    <row r="72" spans="1:9" s="381" customFormat="1" ht="13">
      <c r="A72" s="380" t="s">
        <v>1358</v>
      </c>
      <c r="B72" s="381" t="s">
        <v>1307</v>
      </c>
      <c r="C72" s="381" t="s">
        <v>1301</v>
      </c>
      <c r="D72" s="382">
        <v>44673</v>
      </c>
      <c r="E72" s="383" t="s">
        <v>1344</v>
      </c>
      <c r="F72" s="384">
        <v>0</v>
      </c>
      <c r="H72" s="384"/>
      <c r="I72" s="384"/>
    </row>
    <row r="73" spans="1:9" s="381" customFormat="1" ht="13">
      <c r="A73" s="380">
        <v>10254897</v>
      </c>
      <c r="B73" s="381" t="s">
        <v>1311</v>
      </c>
      <c r="C73" s="381" t="s">
        <v>1301</v>
      </c>
      <c r="D73" s="382">
        <v>44706</v>
      </c>
      <c r="E73" s="383" t="s">
        <v>1344</v>
      </c>
      <c r="F73" s="384">
        <v>16</v>
      </c>
      <c r="G73" s="381" t="s">
        <v>1309</v>
      </c>
      <c r="H73" s="384">
        <v>16</v>
      </c>
      <c r="I73" s="386">
        <v>44706</v>
      </c>
    </row>
    <row r="74" spans="1:9" s="381" customFormat="1" ht="13">
      <c r="A74" s="380">
        <v>10254897</v>
      </c>
      <c r="B74" s="381" t="s">
        <v>1312</v>
      </c>
      <c r="C74" s="381" t="s">
        <v>1301</v>
      </c>
      <c r="D74" s="382">
        <v>44706</v>
      </c>
      <c r="E74" s="383" t="s">
        <v>1344</v>
      </c>
      <c r="F74" s="384">
        <v>15</v>
      </c>
      <c r="G74" s="381" t="s">
        <v>1309</v>
      </c>
      <c r="H74" s="384">
        <v>15</v>
      </c>
      <c r="I74" s="386">
        <v>44706</v>
      </c>
    </row>
    <row r="75" spans="1:9" s="381" customFormat="1" ht="13">
      <c r="A75" s="380">
        <v>10254897</v>
      </c>
      <c r="B75" s="381" t="s">
        <v>1310</v>
      </c>
      <c r="C75" s="381" t="s">
        <v>1301</v>
      </c>
      <c r="D75" s="382">
        <v>44706</v>
      </c>
      <c r="E75" s="383" t="s">
        <v>1344</v>
      </c>
      <c r="F75" s="384">
        <v>10</v>
      </c>
      <c r="G75" s="381" t="s">
        <v>1309</v>
      </c>
      <c r="H75" s="384">
        <v>10</v>
      </c>
      <c r="I75" s="386">
        <v>44706</v>
      </c>
    </row>
    <row r="76" spans="1:9" s="381" customFormat="1" ht="13">
      <c r="A76" s="380">
        <v>10254339</v>
      </c>
      <c r="B76" s="381" t="s">
        <v>1311</v>
      </c>
      <c r="C76" s="381" t="s">
        <v>1301</v>
      </c>
      <c r="D76" s="382">
        <v>44715</v>
      </c>
      <c r="E76" s="383" t="s">
        <v>1344</v>
      </c>
      <c r="F76" s="384">
        <v>5</v>
      </c>
      <c r="G76" s="381" t="s">
        <v>1309</v>
      </c>
      <c r="H76" s="384">
        <v>5</v>
      </c>
      <c r="I76" s="386">
        <v>44715</v>
      </c>
    </row>
    <row r="77" spans="1:9" s="381" customFormat="1" ht="13">
      <c r="A77" s="380">
        <v>10254339</v>
      </c>
      <c r="B77" s="381" t="s">
        <v>1312</v>
      </c>
      <c r="C77" s="381" t="s">
        <v>1301</v>
      </c>
      <c r="D77" s="382">
        <v>44715</v>
      </c>
      <c r="E77" s="383" t="s">
        <v>1344</v>
      </c>
      <c r="F77" s="384">
        <v>6</v>
      </c>
      <c r="G77" s="381" t="s">
        <v>1309</v>
      </c>
      <c r="H77" s="384">
        <v>6</v>
      </c>
      <c r="I77" s="386">
        <v>44715</v>
      </c>
    </row>
    <row r="78" spans="1:9" s="381" customFormat="1" ht="13">
      <c r="A78" s="380">
        <v>10254339</v>
      </c>
      <c r="B78" s="381" t="s">
        <v>1310</v>
      </c>
      <c r="C78" s="381" t="s">
        <v>1301</v>
      </c>
      <c r="D78" s="382">
        <v>44715</v>
      </c>
      <c r="E78" s="383" t="s">
        <v>1344</v>
      </c>
      <c r="F78" s="384">
        <v>5</v>
      </c>
      <c r="G78" s="381" t="s">
        <v>1309</v>
      </c>
      <c r="H78" s="384">
        <v>5</v>
      </c>
      <c r="I78" s="386">
        <v>44715</v>
      </c>
    </row>
    <row r="79" spans="1:9" s="381" customFormat="1" ht="13">
      <c r="A79" s="380" t="s">
        <v>1358</v>
      </c>
      <c r="B79" s="381" t="s">
        <v>1307</v>
      </c>
      <c r="C79" s="381" t="s">
        <v>1301</v>
      </c>
      <c r="D79" s="382">
        <v>44722</v>
      </c>
      <c r="E79" s="383" t="s">
        <v>1344</v>
      </c>
      <c r="F79" s="384">
        <v>0</v>
      </c>
      <c r="G79" s="381" t="s">
        <v>1309</v>
      </c>
      <c r="H79" s="384"/>
      <c r="I79" s="384"/>
    </row>
    <row r="80" spans="1:9" s="381" customFormat="1" ht="13">
      <c r="A80" s="380">
        <v>10275875</v>
      </c>
      <c r="B80" s="381" t="s">
        <v>1311</v>
      </c>
      <c r="C80" s="381" t="s">
        <v>1301</v>
      </c>
      <c r="D80" s="382">
        <v>44757</v>
      </c>
      <c r="E80" s="383" t="s">
        <v>1344</v>
      </c>
      <c r="F80" s="384">
        <v>15</v>
      </c>
      <c r="G80" s="381" t="s">
        <v>1309</v>
      </c>
      <c r="H80" s="384">
        <v>15</v>
      </c>
      <c r="I80" s="386">
        <v>44757</v>
      </c>
    </row>
    <row r="81" spans="1:9" s="381" customFormat="1" ht="13">
      <c r="A81" s="380">
        <v>10275875</v>
      </c>
      <c r="B81" s="381" t="s">
        <v>1312</v>
      </c>
      <c r="C81" s="381" t="s">
        <v>1301</v>
      </c>
      <c r="D81" s="382">
        <v>44757</v>
      </c>
      <c r="E81" s="383" t="s">
        <v>1344</v>
      </c>
      <c r="F81" s="384">
        <v>27</v>
      </c>
      <c r="G81" s="381" t="s">
        <v>1309</v>
      </c>
      <c r="H81" s="384">
        <v>27</v>
      </c>
      <c r="I81" s="386">
        <v>44757</v>
      </c>
    </row>
    <row r="82" spans="1:9" s="381" customFormat="1" ht="13">
      <c r="A82" s="380">
        <v>10275875</v>
      </c>
      <c r="B82" s="381" t="s">
        <v>1310</v>
      </c>
      <c r="C82" s="381" t="s">
        <v>1301</v>
      </c>
      <c r="D82" s="382">
        <v>44757</v>
      </c>
      <c r="E82" s="383" t="s">
        <v>1344</v>
      </c>
      <c r="F82" s="384">
        <v>29</v>
      </c>
      <c r="G82" s="381" t="s">
        <v>1309</v>
      </c>
      <c r="H82" s="384">
        <v>29</v>
      </c>
      <c r="I82" s="386">
        <v>44757</v>
      </c>
    </row>
    <row r="83" spans="1:9" s="381" customFormat="1" ht="13">
      <c r="A83" s="380">
        <v>10282506</v>
      </c>
      <c r="B83" s="381" t="s">
        <v>1311</v>
      </c>
      <c r="C83" s="381" t="s">
        <v>1301</v>
      </c>
      <c r="D83" s="382">
        <v>44771</v>
      </c>
      <c r="E83" s="383" t="s">
        <v>1344</v>
      </c>
      <c r="F83" s="384">
        <v>3</v>
      </c>
      <c r="G83" s="381" t="s">
        <v>1309</v>
      </c>
      <c r="H83" s="384">
        <v>3</v>
      </c>
      <c r="I83" s="386">
        <v>44771</v>
      </c>
    </row>
    <row r="84" spans="1:9" s="381" customFormat="1" ht="13">
      <c r="A84" s="380">
        <v>10282506</v>
      </c>
      <c r="B84" s="381" t="s">
        <v>1312</v>
      </c>
      <c r="C84" s="381" t="s">
        <v>1301</v>
      </c>
      <c r="D84" s="382">
        <v>44771</v>
      </c>
      <c r="E84" s="383" t="s">
        <v>1344</v>
      </c>
      <c r="F84" s="384">
        <v>20</v>
      </c>
      <c r="G84" s="381" t="s">
        <v>1309</v>
      </c>
      <c r="H84" s="384">
        <v>20</v>
      </c>
      <c r="I84" s="386">
        <v>44771</v>
      </c>
    </row>
    <row r="85" spans="1:9" s="381" customFormat="1" ht="13">
      <c r="A85" s="380">
        <v>10282506</v>
      </c>
      <c r="B85" s="381" t="s">
        <v>1310</v>
      </c>
      <c r="C85" s="381" t="s">
        <v>1301</v>
      </c>
      <c r="D85" s="382">
        <v>44771</v>
      </c>
      <c r="E85" s="383" t="s">
        <v>1344</v>
      </c>
      <c r="F85" s="384">
        <v>17</v>
      </c>
      <c r="G85" s="381" t="s">
        <v>1309</v>
      </c>
      <c r="H85" s="384">
        <v>17</v>
      </c>
      <c r="I85" s="386">
        <v>44771</v>
      </c>
    </row>
    <row r="86" spans="1:9" s="381" customFormat="1" ht="13">
      <c r="A86" s="380" t="s">
        <v>1358</v>
      </c>
      <c r="B86" s="381" t="s">
        <v>1307</v>
      </c>
      <c r="C86" s="381" t="s">
        <v>1301</v>
      </c>
      <c r="D86" s="382">
        <v>44799</v>
      </c>
      <c r="E86" s="383" t="s">
        <v>1344</v>
      </c>
      <c r="F86" s="384">
        <v>0</v>
      </c>
      <c r="G86" s="381" t="s">
        <v>1309</v>
      </c>
      <c r="H86" s="384" t="s">
        <v>960</v>
      </c>
      <c r="I86" s="385" t="s">
        <v>1359</v>
      </c>
    </row>
    <row r="87" spans="1:9" s="381" customFormat="1" ht="13">
      <c r="A87" s="380">
        <v>10292540</v>
      </c>
      <c r="B87" s="381" t="s">
        <v>1311</v>
      </c>
      <c r="C87" s="381" t="s">
        <v>1301</v>
      </c>
      <c r="D87" s="382">
        <v>44820</v>
      </c>
      <c r="E87" s="383" t="s">
        <v>1344</v>
      </c>
      <c r="F87" s="384">
        <v>0</v>
      </c>
      <c r="G87" s="381" t="s">
        <v>1309</v>
      </c>
      <c r="H87" s="384">
        <v>0</v>
      </c>
      <c r="I87" s="386">
        <v>44820</v>
      </c>
    </row>
    <row r="88" spans="1:9" s="381" customFormat="1" ht="13">
      <c r="A88" s="380">
        <v>10292540</v>
      </c>
      <c r="B88" s="381" t="s">
        <v>1312</v>
      </c>
      <c r="C88" s="381" t="s">
        <v>1301</v>
      </c>
      <c r="D88" s="382">
        <v>44820</v>
      </c>
      <c r="E88" s="383" t="s">
        <v>1344</v>
      </c>
      <c r="F88" s="384">
        <v>9</v>
      </c>
      <c r="G88" s="381" t="s">
        <v>1309</v>
      </c>
      <c r="H88" s="384">
        <v>9</v>
      </c>
      <c r="I88" s="386">
        <v>44820</v>
      </c>
    </row>
    <row r="89" spans="1:9" s="381" customFormat="1" ht="13">
      <c r="A89" s="380">
        <v>10292540</v>
      </c>
      <c r="B89" s="381" t="s">
        <v>1310</v>
      </c>
      <c r="C89" s="381" t="s">
        <v>1301</v>
      </c>
      <c r="D89" s="382">
        <v>44820</v>
      </c>
      <c r="E89" s="383" t="s">
        <v>1344</v>
      </c>
      <c r="F89" s="384">
        <v>35</v>
      </c>
      <c r="G89" s="381" t="s">
        <v>1309</v>
      </c>
      <c r="H89" s="384">
        <v>35</v>
      </c>
      <c r="I89" s="386">
        <v>44820</v>
      </c>
    </row>
    <row r="90" spans="1:9" s="381" customFormat="1" ht="13">
      <c r="A90" s="380">
        <v>10292560</v>
      </c>
      <c r="B90" s="381" t="s">
        <v>1311</v>
      </c>
      <c r="C90" s="381" t="s">
        <v>1301</v>
      </c>
      <c r="D90" s="382">
        <v>44834</v>
      </c>
      <c r="E90" s="383" t="s">
        <v>1344</v>
      </c>
      <c r="F90" s="384">
        <v>0</v>
      </c>
      <c r="G90" s="381" t="s">
        <v>1309</v>
      </c>
      <c r="H90" s="384">
        <v>0</v>
      </c>
      <c r="I90" s="386">
        <v>44834</v>
      </c>
    </row>
    <row r="91" spans="1:9" s="381" customFormat="1" ht="13">
      <c r="A91" s="380">
        <v>10292560</v>
      </c>
      <c r="B91" s="381" t="s">
        <v>1312</v>
      </c>
      <c r="C91" s="381" t="s">
        <v>1301</v>
      </c>
      <c r="D91" s="382">
        <v>44834</v>
      </c>
      <c r="E91" s="383" t="s">
        <v>1344</v>
      </c>
      <c r="F91" s="384">
        <v>4</v>
      </c>
      <c r="G91" s="381" t="s">
        <v>1309</v>
      </c>
      <c r="H91" s="384">
        <v>4</v>
      </c>
      <c r="I91" s="386">
        <v>44834</v>
      </c>
    </row>
    <row r="92" spans="1:9" s="381" customFormat="1" ht="13">
      <c r="A92" s="380">
        <v>10292560</v>
      </c>
      <c r="B92" s="381" t="s">
        <v>1310</v>
      </c>
      <c r="C92" s="381" t="s">
        <v>1301</v>
      </c>
      <c r="D92" s="382">
        <v>44834</v>
      </c>
      <c r="E92" s="383" t="s">
        <v>1344</v>
      </c>
      <c r="F92" s="384">
        <v>20</v>
      </c>
      <c r="G92" s="381" t="s">
        <v>1309</v>
      </c>
      <c r="H92" s="384">
        <v>20</v>
      </c>
      <c r="I92" s="386">
        <v>44834</v>
      </c>
    </row>
    <row r="93" spans="1:9" s="381" customFormat="1" ht="13">
      <c r="A93" s="380">
        <v>10306810</v>
      </c>
      <c r="B93" s="381" t="s">
        <v>1311</v>
      </c>
      <c r="C93" s="381" t="s">
        <v>1301</v>
      </c>
      <c r="D93" s="382">
        <v>44896</v>
      </c>
      <c r="E93" s="383" t="s">
        <v>1344</v>
      </c>
      <c r="F93" s="384">
        <v>10</v>
      </c>
      <c r="G93" s="381" t="s">
        <v>1309</v>
      </c>
      <c r="H93" s="384"/>
      <c r="I93" s="386">
        <v>44896</v>
      </c>
    </row>
    <row r="94" spans="1:9" s="381" customFormat="1" ht="13">
      <c r="A94" s="380">
        <v>10306810</v>
      </c>
      <c r="B94" s="381" t="s">
        <v>1312</v>
      </c>
      <c r="C94" s="381" t="s">
        <v>1301</v>
      </c>
      <c r="D94" s="382">
        <v>44896</v>
      </c>
      <c r="E94" s="383" t="s">
        <v>1344</v>
      </c>
      <c r="F94" s="384">
        <v>10</v>
      </c>
      <c r="G94" s="381" t="s">
        <v>1309</v>
      </c>
      <c r="H94" s="384"/>
      <c r="I94" s="386">
        <v>44896</v>
      </c>
    </row>
    <row r="95" spans="1:9" s="381" customFormat="1" ht="13">
      <c r="A95" s="380">
        <v>10306810</v>
      </c>
      <c r="B95" s="381" t="s">
        <v>1310</v>
      </c>
      <c r="C95" s="381" t="s">
        <v>1301</v>
      </c>
      <c r="D95" s="382">
        <v>44896</v>
      </c>
      <c r="E95" s="383" t="s">
        <v>1344</v>
      </c>
      <c r="F95" s="384">
        <v>10</v>
      </c>
      <c r="G95" s="381" t="s">
        <v>1309</v>
      </c>
      <c r="H95" s="384"/>
      <c r="I95" s="386">
        <v>44896</v>
      </c>
    </row>
    <row r="96" spans="1:9" s="381" customFormat="1" ht="13">
      <c r="A96" s="380">
        <v>10306805</v>
      </c>
      <c r="B96" s="381" t="s">
        <v>1311</v>
      </c>
      <c r="C96" s="381" t="s">
        <v>1301</v>
      </c>
      <c r="D96" s="382">
        <v>44897</v>
      </c>
      <c r="E96" s="383" t="s">
        <v>1344</v>
      </c>
      <c r="F96" s="384">
        <v>10</v>
      </c>
      <c r="G96" s="381" t="s">
        <v>1309</v>
      </c>
      <c r="H96" s="384"/>
      <c r="I96" s="386">
        <v>44897</v>
      </c>
    </row>
    <row r="97" spans="1:9" s="381" customFormat="1" ht="13">
      <c r="A97" s="380">
        <v>10306805</v>
      </c>
      <c r="B97" s="381" t="s">
        <v>1312</v>
      </c>
      <c r="C97" s="381" t="s">
        <v>1301</v>
      </c>
      <c r="D97" s="382">
        <v>44897</v>
      </c>
      <c r="E97" s="383" t="s">
        <v>1344</v>
      </c>
      <c r="F97" s="384">
        <v>10</v>
      </c>
      <c r="G97" s="381" t="s">
        <v>1309</v>
      </c>
      <c r="H97" s="384"/>
      <c r="I97" s="386">
        <v>44897</v>
      </c>
    </row>
    <row r="98" spans="1:9" s="381" customFormat="1" ht="13">
      <c r="A98" s="380">
        <v>10306805</v>
      </c>
      <c r="B98" s="381" t="s">
        <v>1310</v>
      </c>
      <c r="C98" s="381" t="s">
        <v>1301</v>
      </c>
      <c r="D98" s="382">
        <v>44897</v>
      </c>
      <c r="E98" s="383" t="s">
        <v>1344</v>
      </c>
      <c r="F98" s="384">
        <v>10</v>
      </c>
      <c r="G98" s="381" t="s">
        <v>1309</v>
      </c>
      <c r="H98" s="384"/>
      <c r="I98" s="386">
        <v>44897</v>
      </c>
    </row>
    <row r="99" spans="1:9">
      <c r="A99" s="116">
        <v>10238518</v>
      </c>
      <c r="B99" s="107" t="s">
        <v>46</v>
      </c>
      <c r="C99" s="14" t="s">
        <v>1301</v>
      </c>
      <c r="D99" s="108">
        <v>44582</v>
      </c>
      <c r="E99" t="s">
        <v>1344</v>
      </c>
      <c r="F99" s="475">
        <v>140</v>
      </c>
      <c r="G99" s="14" t="s">
        <v>766</v>
      </c>
      <c r="H99" s="475"/>
      <c r="I99" s="112">
        <v>44583</v>
      </c>
    </row>
    <row r="100" spans="1:9">
      <c r="A100" s="116">
        <v>10241171</v>
      </c>
      <c r="B100" s="107" t="s">
        <v>46</v>
      </c>
      <c r="C100" s="14" t="s">
        <v>1301</v>
      </c>
      <c r="D100" s="108">
        <v>44589</v>
      </c>
      <c r="E100" t="s">
        <v>1344</v>
      </c>
      <c r="F100" s="475">
        <v>140</v>
      </c>
      <c r="G100" s="14" t="s">
        <v>766</v>
      </c>
      <c r="H100" s="475"/>
      <c r="I100" s="112">
        <v>44583</v>
      </c>
    </row>
    <row r="101" spans="1:9">
      <c r="A101" s="116">
        <v>10244161</v>
      </c>
      <c r="B101" s="107" t="s">
        <v>46</v>
      </c>
      <c r="C101" s="14" t="s">
        <v>1301</v>
      </c>
      <c r="D101" s="108">
        <v>44602</v>
      </c>
      <c r="E101" t="s">
        <v>1344</v>
      </c>
      <c r="F101" s="475">
        <v>140</v>
      </c>
      <c r="G101" s="14" t="s">
        <v>766</v>
      </c>
      <c r="H101" s="475"/>
      <c r="I101" s="112">
        <v>44614</v>
      </c>
    </row>
    <row r="102" spans="1:9">
      <c r="A102" s="116">
        <v>10249185</v>
      </c>
      <c r="B102" s="107" t="s">
        <v>46</v>
      </c>
      <c r="C102" s="14" t="s">
        <v>1301</v>
      </c>
      <c r="D102" s="108">
        <v>44617</v>
      </c>
      <c r="E102" t="s">
        <v>1344</v>
      </c>
      <c r="F102" s="475">
        <v>140</v>
      </c>
      <c r="G102" s="14" t="s">
        <v>766</v>
      </c>
      <c r="H102" s="475"/>
      <c r="I102" s="112">
        <v>44614</v>
      </c>
    </row>
    <row r="103" spans="1:9">
      <c r="A103" s="116">
        <v>10251746</v>
      </c>
      <c r="B103" s="107" t="s">
        <v>46</v>
      </c>
      <c r="C103" s="14" t="s">
        <v>1301</v>
      </c>
      <c r="D103" s="108">
        <v>44631</v>
      </c>
      <c r="E103" t="s">
        <v>1344</v>
      </c>
      <c r="F103" s="475">
        <v>140</v>
      </c>
      <c r="G103" s="14" t="s">
        <v>766</v>
      </c>
      <c r="H103" s="475"/>
      <c r="I103" s="112">
        <v>44642</v>
      </c>
    </row>
    <row r="104" spans="1:9">
      <c r="A104" s="116">
        <v>10254083</v>
      </c>
      <c r="B104" s="107" t="s">
        <v>46</v>
      </c>
      <c r="C104" s="14" t="s">
        <v>1301</v>
      </c>
      <c r="D104" s="108">
        <v>44644</v>
      </c>
      <c r="E104" t="s">
        <v>1344</v>
      </c>
      <c r="F104" s="475">
        <v>140</v>
      </c>
      <c r="G104" s="14" t="s">
        <v>766</v>
      </c>
      <c r="H104" s="475"/>
      <c r="I104" s="112">
        <v>44642</v>
      </c>
    </row>
    <row r="105" spans="1:9">
      <c r="A105" s="117" t="s">
        <v>1298</v>
      </c>
      <c r="B105" s="107" t="s">
        <v>1304</v>
      </c>
      <c r="C105" s="14" t="s">
        <v>1300</v>
      </c>
      <c r="D105" s="108" t="s">
        <v>1360</v>
      </c>
      <c r="F105" s="475">
        <v>80</v>
      </c>
      <c r="G105" s="14" t="s">
        <v>766</v>
      </c>
      <c r="H105" s="475"/>
      <c r="I105" s="475"/>
    </row>
    <row r="106" spans="1:9">
      <c r="A106" s="117" t="s">
        <v>1298</v>
      </c>
      <c r="B106" s="107" t="s">
        <v>1361</v>
      </c>
      <c r="C106" s="14" t="s">
        <v>1300</v>
      </c>
      <c r="D106" s="108" t="s">
        <v>1360</v>
      </c>
      <c r="F106" s="475">
        <v>120</v>
      </c>
      <c r="G106" s="14" t="s">
        <v>766</v>
      </c>
      <c r="H106" s="475"/>
      <c r="I106" s="475"/>
    </row>
    <row r="107" spans="1:9">
      <c r="A107" s="116">
        <v>10259140</v>
      </c>
      <c r="B107" s="107" t="s">
        <v>1304</v>
      </c>
      <c r="C107" s="14" t="s">
        <v>1301</v>
      </c>
      <c r="D107" s="108">
        <v>44708</v>
      </c>
      <c r="E107" t="s">
        <v>1344</v>
      </c>
      <c r="F107" s="475">
        <v>45</v>
      </c>
      <c r="G107" s="14" t="s">
        <v>1333</v>
      </c>
      <c r="H107" s="475"/>
      <c r="I107" s="475"/>
    </row>
    <row r="108" spans="1:9">
      <c r="A108" s="116">
        <v>10265125</v>
      </c>
      <c r="B108" s="107" t="s">
        <v>1361</v>
      </c>
      <c r="C108" s="14" t="s">
        <v>1301</v>
      </c>
      <c r="D108" s="108">
        <v>44706</v>
      </c>
      <c r="E108" t="s">
        <v>1344</v>
      </c>
      <c r="F108" s="475">
        <v>45</v>
      </c>
      <c r="G108" s="14" t="s">
        <v>1333</v>
      </c>
      <c r="H108" s="475"/>
      <c r="I108" s="475"/>
    </row>
    <row r="109" spans="1:9">
      <c r="A109" s="116">
        <v>10265131</v>
      </c>
      <c r="B109" s="107" t="s">
        <v>1361</v>
      </c>
      <c r="C109" s="14" t="s">
        <v>1301</v>
      </c>
      <c r="D109" s="108">
        <v>44711</v>
      </c>
      <c r="E109" t="s">
        <v>1344</v>
      </c>
      <c r="F109" s="475">
        <v>45</v>
      </c>
      <c r="G109" s="14" t="s">
        <v>1333</v>
      </c>
      <c r="H109" s="475"/>
      <c r="I109" s="475"/>
    </row>
    <row r="110" spans="1:9">
      <c r="A110" s="116">
        <v>10267529</v>
      </c>
      <c r="B110" s="107" t="s">
        <v>1338</v>
      </c>
      <c r="C110" s="14" t="s">
        <v>1301</v>
      </c>
      <c r="D110" s="108">
        <v>44702</v>
      </c>
      <c r="E110" t="s">
        <v>1344</v>
      </c>
      <c r="F110" s="475">
        <v>35</v>
      </c>
      <c r="G110" s="14" t="s">
        <v>1333</v>
      </c>
      <c r="H110" s="475"/>
      <c r="I110" s="475"/>
    </row>
    <row r="111" spans="1:9">
      <c r="A111" s="116">
        <v>10311036</v>
      </c>
      <c r="B111" s="107" t="s">
        <v>1338</v>
      </c>
      <c r="C111" s="14" t="s">
        <v>1301</v>
      </c>
      <c r="D111" s="108">
        <v>44883</v>
      </c>
      <c r="E111" t="s">
        <v>1344</v>
      </c>
      <c r="F111" s="475">
        <v>100</v>
      </c>
      <c r="G111" s="14" t="s">
        <v>1333</v>
      </c>
      <c r="H111" s="475"/>
      <c r="I111" s="475"/>
    </row>
    <row r="112" spans="1:9">
      <c r="A112" s="116">
        <v>10267534</v>
      </c>
      <c r="B112" s="107" t="s">
        <v>1336</v>
      </c>
      <c r="C112" s="14" t="s">
        <v>1301</v>
      </c>
      <c r="D112" s="108">
        <v>44709</v>
      </c>
      <c r="E112" t="s">
        <v>1344</v>
      </c>
      <c r="F112" s="475">
        <v>42</v>
      </c>
      <c r="G112" s="14" t="s">
        <v>1333</v>
      </c>
      <c r="H112" s="475"/>
      <c r="I112" s="475"/>
    </row>
    <row r="113" spans="1:8">
      <c r="A113" s="390">
        <v>10305894</v>
      </c>
      <c r="B113" s="107" t="s">
        <v>1336</v>
      </c>
      <c r="C113" s="14" t="s">
        <v>1301</v>
      </c>
      <c r="D113" s="108">
        <v>44890</v>
      </c>
      <c r="E113" t="s">
        <v>1344</v>
      </c>
      <c r="F113" s="475">
        <v>71</v>
      </c>
      <c r="G113" s="14" t="s">
        <v>1333</v>
      </c>
      <c r="H113" s="475">
        <v>71</v>
      </c>
    </row>
    <row r="114" spans="1:8">
      <c r="A114" s="115">
        <v>10101105</v>
      </c>
      <c r="B114" s="107" t="s">
        <v>1362</v>
      </c>
      <c r="C114" s="14" t="s">
        <v>1301</v>
      </c>
      <c r="D114" s="108">
        <v>44725</v>
      </c>
      <c r="E114" t="s">
        <v>1344</v>
      </c>
      <c r="F114" s="475"/>
      <c r="H114" s="475"/>
    </row>
    <row r="115" spans="1:8">
      <c r="A115" s="117" t="s">
        <v>1298</v>
      </c>
      <c r="B115" s="107" t="s">
        <v>1362</v>
      </c>
      <c r="C115" s="14" t="s">
        <v>1301</v>
      </c>
      <c r="D115" s="108">
        <v>44732</v>
      </c>
      <c r="E115" t="s">
        <v>1344</v>
      </c>
      <c r="F115" s="475"/>
      <c r="H115" s="475"/>
    </row>
    <row r="116" spans="1:8">
      <c r="A116" s="117" t="s">
        <v>1298</v>
      </c>
      <c r="B116" s="107" t="s">
        <v>1362</v>
      </c>
      <c r="C116" s="14" t="s">
        <v>1300</v>
      </c>
      <c r="D116" s="108" t="s">
        <v>806</v>
      </c>
      <c r="E116" t="s">
        <v>1344</v>
      </c>
      <c r="F116" s="475"/>
      <c r="H116" s="475"/>
    </row>
    <row r="117" spans="1:8">
      <c r="A117" s="117" t="s">
        <v>1298</v>
      </c>
      <c r="B117" s="107" t="s">
        <v>1362</v>
      </c>
      <c r="C117" s="14" t="s">
        <v>1300</v>
      </c>
      <c r="D117" s="108" t="s">
        <v>806</v>
      </c>
      <c r="E117" t="s">
        <v>1344</v>
      </c>
      <c r="F117" s="475"/>
      <c r="H117" s="475"/>
    </row>
    <row r="118" spans="1:8">
      <c r="A118" s="116">
        <v>10266219</v>
      </c>
      <c r="B118" s="107" t="s">
        <v>1304</v>
      </c>
      <c r="C118" s="14" t="s">
        <v>1301</v>
      </c>
      <c r="D118" s="108">
        <v>44712</v>
      </c>
      <c r="E118" t="s">
        <v>1344</v>
      </c>
      <c r="F118" s="475">
        <v>45</v>
      </c>
      <c r="G118" s="14" t="s">
        <v>1333</v>
      </c>
      <c r="H118" s="475"/>
    </row>
    <row r="119" spans="1:8">
      <c r="A119" s="117" t="s">
        <v>1298</v>
      </c>
      <c r="B119" s="107" t="s">
        <v>1338</v>
      </c>
      <c r="C119" s="14" t="s">
        <v>1300</v>
      </c>
      <c r="D119" s="108">
        <v>44681</v>
      </c>
      <c r="F119" s="475">
        <v>70</v>
      </c>
      <c r="G119" s="14" t="s">
        <v>1333</v>
      </c>
      <c r="H119" s="475"/>
    </row>
    <row r="120" spans="1:8">
      <c r="A120" s="117" t="s">
        <v>1298</v>
      </c>
      <c r="B120" s="107" t="s">
        <v>1336</v>
      </c>
      <c r="C120" s="14" t="s">
        <v>1300</v>
      </c>
      <c r="D120" s="108">
        <v>44681</v>
      </c>
      <c r="F120" s="475">
        <v>68</v>
      </c>
      <c r="G120" s="14" t="s">
        <v>1333</v>
      </c>
      <c r="H120" s="475"/>
    </row>
    <row r="121" spans="1:8">
      <c r="A121" s="117">
        <v>10272824</v>
      </c>
      <c r="B121" s="107" t="s">
        <v>1349</v>
      </c>
      <c r="C121" s="14" t="s">
        <v>1301</v>
      </c>
      <c r="D121" s="108">
        <v>44726</v>
      </c>
      <c r="E121" t="s">
        <v>1344</v>
      </c>
      <c r="F121" s="475">
        <v>30</v>
      </c>
      <c r="G121" s="14" t="s">
        <v>1357</v>
      </c>
      <c r="H121" s="475"/>
    </row>
    <row r="122" spans="1:8" ht="15" thickBot="1">
      <c r="A122" s="117">
        <v>10259760</v>
      </c>
      <c r="B122" s="107" t="s">
        <v>46</v>
      </c>
      <c r="C122" s="14" t="s">
        <v>1301</v>
      </c>
      <c r="D122" s="108">
        <v>44659</v>
      </c>
      <c r="E122" t="s">
        <v>1344</v>
      </c>
      <c r="F122" s="475">
        <v>84</v>
      </c>
      <c r="G122" s="14" t="s">
        <v>1333</v>
      </c>
      <c r="H122" s="475"/>
    </row>
    <row r="123" spans="1:8" ht="15" thickBot="1">
      <c r="A123" s="119">
        <v>10261955</v>
      </c>
      <c r="B123" s="107" t="s">
        <v>46</v>
      </c>
      <c r="C123" s="14" t="s">
        <v>1301</v>
      </c>
      <c r="D123" s="108">
        <v>44673</v>
      </c>
      <c r="E123" t="s">
        <v>1344</v>
      </c>
      <c r="F123" s="475">
        <v>82</v>
      </c>
      <c r="G123" s="14" t="s">
        <v>1333</v>
      </c>
      <c r="H123" s="475"/>
    </row>
    <row r="124" spans="1:8" ht="15" thickBot="1">
      <c r="A124" s="119">
        <v>10264866</v>
      </c>
      <c r="B124" s="107" t="s">
        <v>46</v>
      </c>
      <c r="C124" s="14" t="s">
        <v>1301</v>
      </c>
      <c r="D124" s="108">
        <v>44694</v>
      </c>
      <c r="E124" t="s">
        <v>1344</v>
      </c>
      <c r="F124" s="475">
        <v>77</v>
      </c>
      <c r="G124" s="14" t="s">
        <v>1333</v>
      </c>
      <c r="H124" s="475"/>
    </row>
    <row r="125" spans="1:8">
      <c r="A125" s="117">
        <v>10272105</v>
      </c>
      <c r="B125" s="107" t="s">
        <v>46</v>
      </c>
      <c r="C125" s="14" t="s">
        <v>1301</v>
      </c>
      <c r="D125" s="108">
        <v>44708</v>
      </c>
      <c r="E125" t="s">
        <v>1344</v>
      </c>
      <c r="F125" s="475">
        <v>124</v>
      </c>
      <c r="G125" s="14" t="s">
        <v>1333</v>
      </c>
      <c r="H125" s="475"/>
    </row>
    <row r="126" spans="1:8">
      <c r="A126" s="117">
        <v>10274874</v>
      </c>
      <c r="B126" s="107" t="s">
        <v>46</v>
      </c>
      <c r="C126" s="14" t="s">
        <v>1301</v>
      </c>
      <c r="D126" s="108">
        <v>44722</v>
      </c>
      <c r="E126" t="s">
        <v>1344</v>
      </c>
      <c r="F126" s="475">
        <v>88</v>
      </c>
      <c r="G126" s="14" t="s">
        <v>1333</v>
      </c>
      <c r="H126" s="475"/>
    </row>
    <row r="127" spans="1:8">
      <c r="A127" s="117">
        <v>10280340</v>
      </c>
      <c r="B127" s="107" t="s">
        <v>46</v>
      </c>
      <c r="C127" s="14" t="s">
        <v>1301</v>
      </c>
      <c r="D127" s="108">
        <v>44736</v>
      </c>
      <c r="E127" t="s">
        <v>1344</v>
      </c>
      <c r="F127" s="475">
        <v>177</v>
      </c>
      <c r="G127" s="14" t="s">
        <v>1333</v>
      </c>
      <c r="H127" s="475"/>
    </row>
    <row r="128" spans="1:8">
      <c r="A128" s="117">
        <v>10272801</v>
      </c>
      <c r="B128" s="107" t="s">
        <v>1322</v>
      </c>
      <c r="C128" s="14" t="s">
        <v>1301</v>
      </c>
      <c r="D128" s="108">
        <v>44733</v>
      </c>
      <c r="E128" t="s">
        <v>1344</v>
      </c>
      <c r="F128" s="475">
        <v>80</v>
      </c>
      <c r="G128" s="14" t="s">
        <v>1333</v>
      </c>
      <c r="H128" s="475"/>
    </row>
    <row r="129" spans="1:7">
      <c r="A129" s="117">
        <v>10272805</v>
      </c>
      <c r="B129" s="107" t="s">
        <v>1322</v>
      </c>
      <c r="C129" s="14" t="s">
        <v>1301</v>
      </c>
      <c r="D129" s="108">
        <v>44749</v>
      </c>
      <c r="E129" t="s">
        <v>1344</v>
      </c>
      <c r="F129" s="475">
        <v>90</v>
      </c>
      <c r="G129" s="14" t="s">
        <v>1333</v>
      </c>
    </row>
    <row r="130" spans="1:7">
      <c r="A130" s="117">
        <v>10272806</v>
      </c>
      <c r="B130" s="107" t="s">
        <v>1322</v>
      </c>
      <c r="C130" s="14" t="s">
        <v>1301</v>
      </c>
      <c r="D130" s="108">
        <v>44762</v>
      </c>
      <c r="E130" t="s">
        <v>1344</v>
      </c>
      <c r="F130" s="475">
        <v>90</v>
      </c>
      <c r="G130" s="14" t="s">
        <v>1333</v>
      </c>
    </row>
    <row r="131" spans="1:7">
      <c r="A131" s="117">
        <v>10272807</v>
      </c>
      <c r="B131" s="107" t="s">
        <v>1322</v>
      </c>
      <c r="C131" s="14" t="s">
        <v>1301</v>
      </c>
      <c r="D131" s="108">
        <v>44778</v>
      </c>
      <c r="E131" t="s">
        <v>1344</v>
      </c>
      <c r="F131" s="475">
        <v>80</v>
      </c>
      <c r="G131" s="14" t="s">
        <v>1333</v>
      </c>
    </row>
    <row r="132" spans="1:7">
      <c r="A132" s="117">
        <v>10292311</v>
      </c>
      <c r="B132" s="107" t="s">
        <v>1349</v>
      </c>
      <c r="C132" s="14" t="s">
        <v>1301</v>
      </c>
      <c r="D132" s="108">
        <v>44795</v>
      </c>
      <c r="E132" t="s">
        <v>1344</v>
      </c>
      <c r="F132" s="475">
        <v>22</v>
      </c>
      <c r="G132" s="14" t="s">
        <v>1357</v>
      </c>
    </row>
    <row r="133" spans="1:7">
      <c r="A133" s="117">
        <v>10308959</v>
      </c>
      <c r="B133" s="107" t="s">
        <v>1349</v>
      </c>
      <c r="C133" s="14" t="s">
        <v>1301</v>
      </c>
      <c r="D133" s="108">
        <v>44858</v>
      </c>
      <c r="E133" t="s">
        <v>1344</v>
      </c>
      <c r="F133" s="475">
        <v>44</v>
      </c>
      <c r="G133" s="14" t="s">
        <v>1357</v>
      </c>
    </row>
    <row r="134" spans="1:7">
      <c r="A134" s="117" t="s">
        <v>1363</v>
      </c>
      <c r="B134" s="107" t="s">
        <v>46</v>
      </c>
      <c r="C134" s="14" t="s">
        <v>1301</v>
      </c>
      <c r="D134" s="108">
        <v>44848</v>
      </c>
      <c r="E134" t="s">
        <v>1344</v>
      </c>
      <c r="F134" s="475">
        <v>300</v>
      </c>
      <c r="G134" s="14" t="s">
        <v>1333</v>
      </c>
    </row>
    <row r="135" spans="1:7" ht="15" thickBot="1">
      <c r="A135" s="117">
        <v>10311057</v>
      </c>
      <c r="B135" s="107" t="s">
        <v>46</v>
      </c>
      <c r="C135" s="14" t="s">
        <v>1301</v>
      </c>
      <c r="D135" s="108">
        <v>44848</v>
      </c>
      <c r="E135" t="s">
        <v>1344</v>
      </c>
      <c r="F135" s="475">
        <v>300</v>
      </c>
      <c r="G135" s="14" t="s">
        <v>1333</v>
      </c>
    </row>
    <row r="136" spans="1:7" ht="15" thickBot="1">
      <c r="A136" s="387">
        <v>10261955</v>
      </c>
      <c r="B136" s="107" t="s">
        <v>46</v>
      </c>
      <c r="C136" s="14" t="s">
        <v>1301</v>
      </c>
      <c r="D136" s="108">
        <v>44673</v>
      </c>
      <c r="E136" t="s">
        <v>1344</v>
      </c>
      <c r="F136" s="475">
        <v>82</v>
      </c>
      <c r="G136" s="14" t="s">
        <v>1333</v>
      </c>
    </row>
    <row r="137" spans="1:7" ht="15" thickBot="1">
      <c r="A137" s="387">
        <v>10264866</v>
      </c>
      <c r="B137" s="107" t="s">
        <v>46</v>
      </c>
      <c r="C137" s="14" t="s">
        <v>1301</v>
      </c>
      <c r="D137" s="108">
        <v>44694</v>
      </c>
      <c r="E137" t="s">
        <v>1344</v>
      </c>
      <c r="F137" s="475">
        <v>77</v>
      </c>
      <c r="G137" s="14" t="s">
        <v>1333</v>
      </c>
    </row>
    <row r="138" spans="1:7">
      <c r="A138" s="388">
        <v>10272105</v>
      </c>
      <c r="B138" s="107" t="s">
        <v>46</v>
      </c>
      <c r="C138" s="14" t="s">
        <v>1301</v>
      </c>
      <c r="D138" s="108">
        <v>44708</v>
      </c>
      <c r="E138" t="s">
        <v>1344</v>
      </c>
      <c r="F138" s="475">
        <v>124</v>
      </c>
      <c r="G138" s="14" t="s">
        <v>1333</v>
      </c>
    </row>
    <row r="139" spans="1:7">
      <c r="A139" s="388">
        <v>10274874</v>
      </c>
      <c r="B139" s="107" t="s">
        <v>46</v>
      </c>
      <c r="C139" s="14" t="s">
        <v>1301</v>
      </c>
      <c r="D139" s="108">
        <v>44722</v>
      </c>
      <c r="E139" t="s">
        <v>1344</v>
      </c>
      <c r="F139" s="475">
        <v>88</v>
      </c>
      <c r="G139" s="14" t="s">
        <v>1333</v>
      </c>
    </row>
    <row r="140" spans="1:7">
      <c r="A140" s="388">
        <v>10280340</v>
      </c>
      <c r="B140" s="107" t="s">
        <v>46</v>
      </c>
      <c r="C140" s="14" t="s">
        <v>1301</v>
      </c>
      <c r="D140" s="108">
        <v>44736</v>
      </c>
      <c r="E140" t="s">
        <v>1344</v>
      </c>
      <c r="F140" s="475">
        <v>177</v>
      </c>
      <c r="G140" s="14" t="s">
        <v>1333</v>
      </c>
    </row>
    <row r="141" spans="1:7">
      <c r="A141" s="388" t="s">
        <v>1364</v>
      </c>
      <c r="B141" s="107" t="s">
        <v>46</v>
      </c>
      <c r="C141" s="14" t="s">
        <v>1301</v>
      </c>
      <c r="D141" s="108">
        <v>44848</v>
      </c>
      <c r="E141" t="s">
        <v>1344</v>
      </c>
      <c r="F141" s="475">
        <v>300</v>
      </c>
      <c r="G141" s="14" t="s">
        <v>1333</v>
      </c>
    </row>
    <row r="142" spans="1:7">
      <c r="A142" s="388">
        <v>10230860</v>
      </c>
      <c r="B142" s="107" t="s">
        <v>46</v>
      </c>
      <c r="C142" s="14" t="s">
        <v>1301</v>
      </c>
      <c r="D142" s="108">
        <v>44582</v>
      </c>
      <c r="E142" t="s">
        <v>1344</v>
      </c>
      <c r="F142" s="475">
        <v>54</v>
      </c>
      <c r="G142" s="14" t="s">
        <v>1333</v>
      </c>
    </row>
    <row r="143" spans="1:7">
      <c r="A143" s="388">
        <v>10241171</v>
      </c>
      <c r="B143" s="107" t="s">
        <v>46</v>
      </c>
      <c r="C143" s="14" t="s">
        <v>1301</v>
      </c>
      <c r="D143" s="108">
        <v>44589</v>
      </c>
      <c r="E143" t="s">
        <v>1344</v>
      </c>
      <c r="F143" s="475">
        <v>77</v>
      </c>
      <c r="G143" s="14" t="s">
        <v>1333</v>
      </c>
    </row>
    <row r="144" spans="1:7">
      <c r="A144" s="388">
        <v>10244161</v>
      </c>
      <c r="B144" s="107" t="s">
        <v>46</v>
      </c>
      <c r="C144" s="14" t="s">
        <v>1301</v>
      </c>
      <c r="D144" s="108">
        <v>44602</v>
      </c>
      <c r="E144" t="s">
        <v>1344</v>
      </c>
      <c r="F144" s="475">
        <v>91</v>
      </c>
      <c r="G144" s="14" t="s">
        <v>1333</v>
      </c>
    </row>
    <row r="145" spans="1:7">
      <c r="A145" s="388">
        <v>10247101</v>
      </c>
      <c r="B145" s="107" t="s">
        <v>46</v>
      </c>
      <c r="C145" s="14" t="s">
        <v>1301</v>
      </c>
      <c r="D145" s="108">
        <v>44610</v>
      </c>
      <c r="E145" t="s">
        <v>1344</v>
      </c>
      <c r="F145" s="475">
        <v>92</v>
      </c>
      <c r="G145" s="14" t="s">
        <v>1333</v>
      </c>
    </row>
    <row r="146" spans="1:7">
      <c r="A146" s="388">
        <v>10249185</v>
      </c>
      <c r="B146" s="107" t="s">
        <v>46</v>
      </c>
      <c r="C146" s="14" t="s">
        <v>1301</v>
      </c>
      <c r="D146" s="108">
        <v>44617</v>
      </c>
      <c r="E146" t="s">
        <v>1344</v>
      </c>
      <c r="F146" s="475">
        <v>96</v>
      </c>
      <c r="G146" s="14" t="s">
        <v>1333</v>
      </c>
    </row>
    <row r="147" spans="1:7">
      <c r="A147" s="388">
        <v>10251720</v>
      </c>
      <c r="B147" s="107" t="s">
        <v>46</v>
      </c>
      <c r="C147" s="14" t="s">
        <v>1301</v>
      </c>
      <c r="D147" s="108">
        <v>44630</v>
      </c>
      <c r="E147" t="s">
        <v>1344</v>
      </c>
      <c r="F147" s="475">
        <v>184</v>
      </c>
      <c r="G147" s="14" t="s">
        <v>1333</v>
      </c>
    </row>
    <row r="148" spans="1:7">
      <c r="A148" s="388">
        <v>10251746</v>
      </c>
      <c r="B148" s="107" t="s">
        <v>46</v>
      </c>
      <c r="C148" s="14" t="s">
        <v>1301</v>
      </c>
      <c r="D148" s="108">
        <v>44631</v>
      </c>
      <c r="E148" t="s">
        <v>1344</v>
      </c>
      <c r="F148" s="475">
        <v>203</v>
      </c>
      <c r="G148" s="14" t="s">
        <v>1333</v>
      </c>
    </row>
    <row r="149" spans="1:7">
      <c r="A149" s="388">
        <v>10253712</v>
      </c>
      <c r="B149" s="107" t="s">
        <v>46</v>
      </c>
      <c r="C149" s="14" t="s">
        <v>1301</v>
      </c>
      <c r="D149" s="108">
        <v>44635</v>
      </c>
      <c r="E149" t="s">
        <v>1344</v>
      </c>
      <c r="F149" s="475">
        <v>174</v>
      </c>
      <c r="G149" s="14" t="s">
        <v>1333</v>
      </c>
    </row>
    <row r="150" spans="1:7">
      <c r="A150" s="388">
        <v>10254052</v>
      </c>
      <c r="B150" s="107" t="s">
        <v>46</v>
      </c>
      <c r="C150" s="14" t="s">
        <v>1301</v>
      </c>
      <c r="D150" s="108">
        <v>44637</v>
      </c>
      <c r="E150" t="s">
        <v>1344</v>
      </c>
      <c r="F150" s="475">
        <v>154</v>
      </c>
      <c r="G150" s="14" t="s">
        <v>1333</v>
      </c>
    </row>
    <row r="151" spans="1:7">
      <c r="A151" s="388">
        <v>10253737</v>
      </c>
      <c r="B151" s="107" t="s">
        <v>46</v>
      </c>
      <c r="C151" s="14" t="s">
        <v>1301</v>
      </c>
      <c r="D151" s="108">
        <v>44642</v>
      </c>
      <c r="E151" t="s">
        <v>1344</v>
      </c>
      <c r="F151" s="475">
        <v>197</v>
      </c>
      <c r="G151" s="14" t="s">
        <v>1333</v>
      </c>
    </row>
    <row r="152" spans="1:7">
      <c r="A152" s="388">
        <v>10254083</v>
      </c>
      <c r="B152" s="107" t="s">
        <v>46</v>
      </c>
      <c r="C152" s="14" t="s">
        <v>1301</v>
      </c>
      <c r="D152" s="108">
        <v>44644</v>
      </c>
      <c r="E152" t="s">
        <v>1344</v>
      </c>
      <c r="F152" s="475">
        <v>173</v>
      </c>
      <c r="G152" s="14" t="s">
        <v>1333</v>
      </c>
    </row>
    <row r="153" spans="1:7">
      <c r="A153" s="388">
        <v>10254054</v>
      </c>
      <c r="B153" s="107" t="s">
        <v>46</v>
      </c>
      <c r="C153" s="14" t="s">
        <v>1301</v>
      </c>
      <c r="D153" s="108">
        <v>44645</v>
      </c>
      <c r="E153" t="s">
        <v>1344</v>
      </c>
      <c r="F153" s="475">
        <v>123</v>
      </c>
      <c r="G153" s="14" t="s">
        <v>1333</v>
      </c>
    </row>
    <row r="154" spans="1:7">
      <c r="A154" s="388">
        <v>10282141</v>
      </c>
      <c r="B154" s="107" t="s">
        <v>46</v>
      </c>
      <c r="C154" s="14" t="s">
        <v>1301</v>
      </c>
      <c r="D154" s="108">
        <v>44750</v>
      </c>
      <c r="E154" t="s">
        <v>1344</v>
      </c>
      <c r="F154" s="475">
        <v>233</v>
      </c>
      <c r="G154" s="14" t="s">
        <v>1333</v>
      </c>
    </row>
    <row r="155" spans="1:7">
      <c r="A155" s="388">
        <v>10282150</v>
      </c>
      <c r="B155" s="107" t="s">
        <v>46</v>
      </c>
      <c r="C155" s="14" t="s">
        <v>1301</v>
      </c>
      <c r="D155" s="108">
        <v>44757</v>
      </c>
      <c r="E155" t="s">
        <v>1344</v>
      </c>
      <c r="F155" s="475">
        <v>212</v>
      </c>
      <c r="G155" s="14" t="s">
        <v>1333</v>
      </c>
    </row>
    <row r="156" spans="1:7">
      <c r="A156" s="388">
        <v>10282308</v>
      </c>
      <c r="B156" s="107" t="s">
        <v>46</v>
      </c>
      <c r="C156" s="14" t="s">
        <v>1301</v>
      </c>
      <c r="D156" s="108">
        <v>44764</v>
      </c>
      <c r="E156" t="s">
        <v>1344</v>
      </c>
      <c r="F156" s="475">
        <v>333</v>
      </c>
      <c r="G156" s="14" t="s">
        <v>1333</v>
      </c>
    </row>
    <row r="157" spans="1:7">
      <c r="A157" s="388">
        <v>10289218</v>
      </c>
      <c r="B157" s="107" t="s">
        <v>46</v>
      </c>
      <c r="C157" s="14" t="s">
        <v>1301</v>
      </c>
      <c r="D157" s="108">
        <v>44778</v>
      </c>
      <c r="E157" t="s">
        <v>1344</v>
      </c>
      <c r="F157" s="475">
        <v>142</v>
      </c>
      <c r="G157" s="14" t="s">
        <v>1333</v>
      </c>
    </row>
    <row r="158" spans="1:7">
      <c r="A158" s="388">
        <v>10293252</v>
      </c>
      <c r="B158" s="107" t="s">
        <v>46</v>
      </c>
      <c r="C158" s="14" t="s">
        <v>1301</v>
      </c>
      <c r="D158" s="108">
        <v>44791</v>
      </c>
      <c r="E158" t="s">
        <v>1344</v>
      </c>
      <c r="F158" s="475">
        <v>123</v>
      </c>
      <c r="G158" s="14" t="s">
        <v>1333</v>
      </c>
    </row>
    <row r="159" spans="1:7">
      <c r="A159" s="388">
        <v>10294756</v>
      </c>
      <c r="B159" s="107" t="s">
        <v>46</v>
      </c>
      <c r="C159" s="14" t="s">
        <v>1301</v>
      </c>
      <c r="D159" s="108">
        <v>44799</v>
      </c>
      <c r="E159" t="s">
        <v>1344</v>
      </c>
      <c r="F159" s="475">
        <v>155</v>
      </c>
      <c r="G159" s="14" t="s">
        <v>1333</v>
      </c>
    </row>
    <row r="160" spans="1:7">
      <c r="A160" s="388">
        <v>10296758</v>
      </c>
      <c r="B160" s="107" t="s">
        <v>46</v>
      </c>
      <c r="C160" s="14" t="s">
        <v>1301</v>
      </c>
      <c r="D160" s="108">
        <v>44813</v>
      </c>
      <c r="E160" t="s">
        <v>1344</v>
      </c>
      <c r="F160" s="475">
        <v>76</v>
      </c>
      <c r="G160" s="14" t="s">
        <v>1333</v>
      </c>
    </row>
    <row r="161" spans="1:7">
      <c r="A161" s="388">
        <v>10300195</v>
      </c>
      <c r="B161" s="107" t="s">
        <v>46</v>
      </c>
      <c r="C161" s="14" t="s">
        <v>1301</v>
      </c>
      <c r="D161" s="108">
        <v>44827</v>
      </c>
      <c r="E161" t="s">
        <v>1344</v>
      </c>
      <c r="F161" s="475">
        <v>133</v>
      </c>
      <c r="G161" s="14" t="s">
        <v>1333</v>
      </c>
    </row>
    <row r="162" spans="1:7">
      <c r="A162" s="388">
        <v>10305481</v>
      </c>
      <c r="B162" s="107" t="s">
        <v>46</v>
      </c>
      <c r="C162" s="14" t="s">
        <v>1301</v>
      </c>
      <c r="D162" s="108">
        <v>44862</v>
      </c>
      <c r="E162" t="s">
        <v>1344</v>
      </c>
      <c r="F162" s="475">
        <v>307</v>
      </c>
      <c r="G162" s="14" t="s">
        <v>1333</v>
      </c>
    </row>
    <row r="163" spans="1:7">
      <c r="A163" s="388">
        <v>10313615</v>
      </c>
      <c r="B163" s="107" t="s">
        <v>46</v>
      </c>
      <c r="C163" s="14" t="s">
        <v>1301</v>
      </c>
      <c r="D163" s="108">
        <v>44876</v>
      </c>
      <c r="E163" t="s">
        <v>1344</v>
      </c>
      <c r="F163" s="475">
        <v>300</v>
      </c>
      <c r="G163" s="14" t="s">
        <v>1333</v>
      </c>
    </row>
    <row r="164" spans="1:7">
      <c r="B164" s="107" t="s">
        <v>1338</v>
      </c>
      <c r="C164" s="14" t="s">
        <v>1300</v>
      </c>
      <c r="D164" s="108">
        <v>44916</v>
      </c>
      <c r="F164" s="475">
        <v>138</v>
      </c>
      <c r="G164" s="14" t="s">
        <v>1333</v>
      </c>
    </row>
    <row r="165" spans="1:7">
      <c r="B165" s="107" t="s">
        <v>1336</v>
      </c>
      <c r="C165" s="14" t="s">
        <v>1300</v>
      </c>
      <c r="D165" s="108">
        <v>44916</v>
      </c>
      <c r="F165" s="475">
        <v>160</v>
      </c>
      <c r="G165" s="14" t="s">
        <v>1333</v>
      </c>
    </row>
    <row r="166" spans="1:7">
      <c r="B166" s="107" t="s">
        <v>1336</v>
      </c>
      <c r="C166" s="14" t="s">
        <v>1301</v>
      </c>
      <c r="D166" s="108">
        <v>45079</v>
      </c>
      <c r="E166" t="s">
        <v>1344</v>
      </c>
      <c r="F166" s="475">
        <v>62</v>
      </c>
    </row>
  </sheetData>
  <autoFilter ref="A1:I165" xr:uid="{9E09D7BB-CBFC-436B-9620-3F150FFA8B04}"/>
  <sortState xmlns:xlrd2="http://schemas.microsoft.com/office/spreadsheetml/2017/richdata2" ref="A66:I98">
    <sortCondition ref="D66:D98"/>
    <sortCondition ref="B66:B98"/>
  </sortState>
  <mergeCells count="2">
    <mergeCell ref="H16:H17"/>
    <mergeCell ref="H35:H36"/>
  </mergeCells>
  <phoneticPr fontId="1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0DAC-DE83-4822-8B8C-A8ADA660B030}">
  <sheetPr codeName="Sheet3"/>
  <dimension ref="A1:R520"/>
  <sheetViews>
    <sheetView workbookViewId="0">
      <pane xSplit="1" ySplit="3" topLeftCell="B6" activePane="bottomRight" state="frozen"/>
      <selection pane="topRight" activeCell="B1" sqref="B1"/>
      <selection pane="bottomLeft" activeCell="A4" sqref="A4"/>
      <selection pane="bottomRight" activeCell="B7" sqref="B7"/>
    </sheetView>
  </sheetViews>
  <sheetFormatPr defaultColWidth="8.81640625" defaultRowHeight="14.5"/>
  <cols>
    <col min="1" max="1" width="17.453125" customWidth="1"/>
    <col min="2" max="2" width="20" bestFit="1" customWidth="1"/>
    <col min="3" max="3" width="13.453125" customWidth="1"/>
    <col min="4" max="6" width="8.453125" customWidth="1"/>
    <col min="7" max="7" width="9.81640625" customWidth="1"/>
    <col min="8" max="8" width="16.453125" style="330" bestFit="1" customWidth="1"/>
    <col min="9" max="9" width="9" customWidth="1"/>
    <col min="10" max="10" width="41" bestFit="1" customWidth="1"/>
    <col min="11" max="11" width="13.1796875" customWidth="1"/>
    <col min="12" max="14" width="8.453125" customWidth="1"/>
    <col min="15" max="15" width="9.81640625" customWidth="1"/>
    <col min="16" max="16" width="19.1796875" style="330" bestFit="1" customWidth="1"/>
    <col min="17" max="17" width="13.1796875" customWidth="1"/>
    <col min="18" max="18" width="13.1796875" style="329" customWidth="1"/>
  </cols>
  <sheetData>
    <row r="1" spans="1:18" ht="53.25" customHeight="1" thickBot="1">
      <c r="A1" s="285"/>
      <c r="B1" s="285" t="s">
        <v>2</v>
      </c>
      <c r="C1" s="526" t="s">
        <v>1365</v>
      </c>
      <c r="D1" s="527"/>
      <c r="E1" s="527"/>
      <c r="F1" s="527"/>
      <c r="G1" s="527"/>
      <c r="H1" s="527"/>
      <c r="I1" s="527"/>
      <c r="J1" s="527"/>
      <c r="K1" s="527"/>
      <c r="L1" s="527"/>
      <c r="M1" s="527"/>
      <c r="N1" s="527"/>
      <c r="O1" s="527"/>
      <c r="P1" s="527"/>
      <c r="Q1" s="527"/>
      <c r="R1" s="527"/>
    </row>
    <row r="2" spans="1:18" ht="25.5" customHeight="1" thickBot="1">
      <c r="A2" s="285"/>
      <c r="B2" s="285"/>
      <c r="C2" s="528" t="s">
        <v>1366</v>
      </c>
      <c r="D2" s="529"/>
      <c r="E2" s="529"/>
      <c r="F2" s="529"/>
      <c r="G2" s="529"/>
      <c r="H2" s="529"/>
      <c r="I2" s="529"/>
      <c r="J2" s="530"/>
      <c r="K2" s="531" t="s">
        <v>1367</v>
      </c>
      <c r="L2" s="532"/>
      <c r="M2" s="532"/>
      <c r="N2" s="532"/>
      <c r="O2" s="532"/>
      <c r="P2" s="532"/>
      <c r="Q2" s="533"/>
      <c r="R2" s="325" t="s">
        <v>1368</v>
      </c>
    </row>
    <row r="3" spans="1:18" ht="33.75" customHeight="1" thickBot="1">
      <c r="A3" s="286" t="s">
        <v>1369</v>
      </c>
      <c r="B3" s="286" t="s">
        <v>7</v>
      </c>
      <c r="C3" s="287" t="s">
        <v>1370</v>
      </c>
      <c r="D3" s="288" t="s">
        <v>1371</v>
      </c>
      <c r="E3" s="289" t="s">
        <v>1372</v>
      </c>
      <c r="F3" s="289" t="s">
        <v>1373</v>
      </c>
      <c r="G3" s="289" t="s">
        <v>1374</v>
      </c>
      <c r="H3" s="290" t="s">
        <v>1375</v>
      </c>
      <c r="I3" s="289" t="s">
        <v>1376</v>
      </c>
      <c r="J3" s="291" t="s">
        <v>1377</v>
      </c>
      <c r="K3" s="292" t="s">
        <v>1378</v>
      </c>
      <c r="L3" s="293" t="s">
        <v>1379</v>
      </c>
      <c r="M3" s="294" t="s">
        <v>1380</v>
      </c>
      <c r="N3" s="294" t="s">
        <v>1381</v>
      </c>
      <c r="O3" s="294" t="s">
        <v>1382</v>
      </c>
      <c r="P3" s="295" t="s">
        <v>1383</v>
      </c>
      <c r="Q3" s="296" t="s">
        <v>1384</v>
      </c>
      <c r="R3" s="326" t="s">
        <v>1385</v>
      </c>
    </row>
    <row r="4" spans="1:18" ht="24.5">
      <c r="A4" s="297" t="s">
        <v>1386</v>
      </c>
      <c r="B4" s="429"/>
      <c r="C4" s="298" t="s">
        <v>1387</v>
      </c>
      <c r="D4" s="299">
        <v>7</v>
      </c>
      <c r="E4" s="300">
        <v>2022</v>
      </c>
      <c r="F4" s="300" t="s">
        <v>49</v>
      </c>
      <c r="G4" s="300" t="s">
        <v>801</v>
      </c>
      <c r="H4" s="301">
        <v>44565</v>
      </c>
      <c r="I4" s="300" t="s">
        <v>1388</v>
      </c>
      <c r="J4" s="302" t="s">
        <v>1389</v>
      </c>
      <c r="K4" s="298" t="s">
        <v>1387</v>
      </c>
      <c r="L4" s="299">
        <v>7</v>
      </c>
      <c r="M4" s="300">
        <v>2022</v>
      </c>
      <c r="N4" s="300" t="s">
        <v>49</v>
      </c>
      <c r="O4" s="300" t="s">
        <v>801</v>
      </c>
      <c r="P4" s="301">
        <v>44565</v>
      </c>
      <c r="Q4" s="300" t="s">
        <v>1388</v>
      </c>
      <c r="R4" s="327"/>
    </row>
    <row r="5" spans="1:18" ht="24.5">
      <c r="A5" s="303" t="s">
        <v>1386</v>
      </c>
      <c r="B5" s="430"/>
      <c r="C5" s="304" t="s">
        <v>1387</v>
      </c>
      <c r="D5" s="305">
        <v>5</v>
      </c>
      <c r="E5" s="306">
        <v>2022</v>
      </c>
      <c r="F5" s="306" t="s">
        <v>49</v>
      </c>
      <c r="G5" s="306" t="s">
        <v>801</v>
      </c>
      <c r="H5" s="307">
        <v>44565</v>
      </c>
      <c r="I5" s="306" t="s">
        <v>1388</v>
      </c>
      <c r="J5" s="308" t="s">
        <v>1390</v>
      </c>
      <c r="K5" s="304" t="s">
        <v>1387</v>
      </c>
      <c r="L5" s="305">
        <v>5</v>
      </c>
      <c r="M5" s="306">
        <v>2022</v>
      </c>
      <c r="N5" s="306" t="s">
        <v>49</v>
      </c>
      <c r="O5" s="306" t="s">
        <v>801</v>
      </c>
      <c r="P5" s="307">
        <v>44565</v>
      </c>
      <c r="Q5" s="307" t="s">
        <v>1388</v>
      </c>
      <c r="R5" s="328"/>
    </row>
    <row r="6" spans="1:18" ht="24.5">
      <c r="A6" s="309" t="s">
        <v>713</v>
      </c>
      <c r="B6" s="431"/>
      <c r="C6" s="310" t="s">
        <v>1387</v>
      </c>
      <c r="D6" s="311">
        <v>87</v>
      </c>
      <c r="E6" s="312">
        <v>2022</v>
      </c>
      <c r="F6" s="312" t="s">
        <v>49</v>
      </c>
      <c r="G6" s="312" t="s">
        <v>801</v>
      </c>
      <c r="H6" s="313"/>
      <c r="I6" s="312"/>
      <c r="J6" s="302"/>
      <c r="K6" s="310" t="s">
        <v>1387</v>
      </c>
      <c r="L6" s="311">
        <v>72</v>
      </c>
      <c r="M6" s="312">
        <v>2022</v>
      </c>
      <c r="N6" s="312" t="s">
        <v>49</v>
      </c>
      <c r="O6" s="312" t="s">
        <v>801</v>
      </c>
      <c r="P6" s="313"/>
      <c r="Q6" s="313"/>
      <c r="R6" s="327">
        <v>33</v>
      </c>
    </row>
    <row r="7" spans="1:18" ht="24.5">
      <c r="A7" s="303" t="s">
        <v>713</v>
      </c>
      <c r="B7" s="430"/>
      <c r="C7" s="304" t="s">
        <v>1387</v>
      </c>
      <c r="D7" s="305">
        <v>112</v>
      </c>
      <c r="E7" s="306">
        <v>2022</v>
      </c>
      <c r="F7" s="306" t="s">
        <v>49</v>
      </c>
      <c r="G7" s="306" t="s">
        <v>803</v>
      </c>
      <c r="H7" s="307"/>
      <c r="I7" s="306"/>
      <c r="J7" s="308"/>
      <c r="K7" s="304" t="s">
        <v>1387</v>
      </c>
      <c r="L7" s="305">
        <v>94</v>
      </c>
      <c r="M7" s="306">
        <v>2022</v>
      </c>
      <c r="N7" s="306" t="s">
        <v>49</v>
      </c>
      <c r="O7" s="306" t="s">
        <v>803</v>
      </c>
      <c r="P7" s="307"/>
      <c r="Q7" s="307"/>
      <c r="R7" s="328">
        <v>59</v>
      </c>
    </row>
    <row r="8" spans="1:18" ht="24.5">
      <c r="A8" s="309" t="s">
        <v>713</v>
      </c>
      <c r="B8" s="431"/>
      <c r="C8" s="310" t="s">
        <v>1387</v>
      </c>
      <c r="D8" s="311">
        <v>162</v>
      </c>
      <c r="E8" s="312">
        <v>2022</v>
      </c>
      <c r="F8" s="312" t="s">
        <v>49</v>
      </c>
      <c r="G8" s="312" t="s">
        <v>1391</v>
      </c>
      <c r="H8" s="313"/>
      <c r="I8" s="312"/>
      <c r="J8" s="302"/>
      <c r="K8" s="310" t="s">
        <v>1387</v>
      </c>
      <c r="L8" s="311">
        <v>138</v>
      </c>
      <c r="M8" s="312">
        <v>2022</v>
      </c>
      <c r="N8" s="312" t="s">
        <v>49</v>
      </c>
      <c r="O8" s="312" t="s">
        <v>1391</v>
      </c>
      <c r="P8" s="313"/>
      <c r="Q8" s="313"/>
      <c r="R8" s="327">
        <v>41</v>
      </c>
    </row>
    <row r="9" spans="1:18" ht="24.5">
      <c r="A9" s="303" t="s">
        <v>1135</v>
      </c>
      <c r="B9" s="430"/>
      <c r="C9" s="304" t="s">
        <v>1392</v>
      </c>
      <c r="D9" s="305">
        <v>83</v>
      </c>
      <c r="E9" s="306">
        <v>2022</v>
      </c>
      <c r="F9" s="306" t="s">
        <v>49</v>
      </c>
      <c r="G9" s="306"/>
      <c r="H9" s="307"/>
      <c r="I9" s="306"/>
      <c r="J9" s="308"/>
      <c r="K9" s="304"/>
      <c r="L9" s="305"/>
      <c r="M9" s="305"/>
      <c r="N9" s="306"/>
      <c r="O9" s="306"/>
      <c r="P9" s="307"/>
      <c r="Q9" s="306"/>
      <c r="R9" s="328"/>
    </row>
    <row r="10" spans="1:18" ht="24.5">
      <c r="A10" s="309" t="s">
        <v>1299</v>
      </c>
      <c r="B10" s="431"/>
      <c r="C10" s="310" t="s">
        <v>1392</v>
      </c>
      <c r="D10" s="311">
        <v>85</v>
      </c>
      <c r="E10" s="312">
        <v>2022</v>
      </c>
      <c r="F10" s="312" t="s">
        <v>49</v>
      </c>
      <c r="G10" s="312"/>
      <c r="H10" s="313"/>
      <c r="I10" s="312"/>
      <c r="J10" s="302"/>
      <c r="K10" s="310"/>
      <c r="L10" s="311">
        <v>0</v>
      </c>
      <c r="M10" s="311"/>
      <c r="N10" s="312"/>
      <c r="O10" s="312"/>
      <c r="P10" s="313"/>
      <c r="Q10" s="312"/>
      <c r="R10" s="327"/>
    </row>
    <row r="11" spans="1:18">
      <c r="A11" s="303" t="s">
        <v>1299</v>
      </c>
      <c r="B11" s="430"/>
      <c r="C11" s="304"/>
      <c r="D11" s="305">
        <v>122</v>
      </c>
      <c r="E11" s="306">
        <v>2022</v>
      </c>
      <c r="F11" s="306" t="s">
        <v>49</v>
      </c>
      <c r="G11" s="306"/>
      <c r="H11" s="307"/>
      <c r="I11" s="306"/>
      <c r="J11" s="308"/>
      <c r="K11" s="304"/>
      <c r="L11" s="305">
        <v>0</v>
      </c>
      <c r="M11" s="305"/>
      <c r="N11" s="306"/>
      <c r="O11" s="306"/>
      <c r="P11" s="307"/>
      <c r="Q11" s="306"/>
      <c r="R11" s="328"/>
    </row>
    <row r="12" spans="1:18" ht="24.5">
      <c r="A12" s="309" t="s">
        <v>1393</v>
      </c>
      <c r="B12" s="431"/>
      <c r="C12" s="310" t="s">
        <v>1392</v>
      </c>
      <c r="D12" s="311">
        <v>31</v>
      </c>
      <c r="E12" s="312">
        <v>2022</v>
      </c>
      <c r="F12" s="312" t="s">
        <v>49</v>
      </c>
      <c r="G12" s="312" t="s">
        <v>1391</v>
      </c>
      <c r="H12" s="313"/>
      <c r="I12" s="312" t="s">
        <v>283</v>
      </c>
      <c r="J12" s="302" t="s">
        <v>1394</v>
      </c>
      <c r="K12" s="310" t="s">
        <v>1392</v>
      </c>
      <c r="L12" s="311">
        <v>12</v>
      </c>
      <c r="M12" s="311">
        <v>2022</v>
      </c>
      <c r="N12" s="312"/>
      <c r="O12" s="312"/>
      <c r="P12" s="313"/>
      <c r="Q12" s="312" t="s">
        <v>283</v>
      </c>
      <c r="R12" s="327"/>
    </row>
    <row r="13" spans="1:18" ht="24.5">
      <c r="A13" s="303" t="s">
        <v>1395</v>
      </c>
      <c r="B13" s="430"/>
      <c r="C13" s="304" t="s">
        <v>1392</v>
      </c>
      <c r="D13" s="305">
        <v>13</v>
      </c>
      <c r="E13" s="306">
        <v>2022</v>
      </c>
      <c r="F13" s="306" t="s">
        <v>49</v>
      </c>
      <c r="G13" s="306" t="s">
        <v>803</v>
      </c>
      <c r="H13" s="307"/>
      <c r="I13" s="306"/>
      <c r="J13" s="308"/>
      <c r="K13" s="304" t="s">
        <v>1392</v>
      </c>
      <c r="L13" s="305">
        <v>13</v>
      </c>
      <c r="M13" s="306">
        <v>2022</v>
      </c>
      <c r="N13" s="306" t="s">
        <v>49</v>
      </c>
      <c r="O13" s="306" t="s">
        <v>803</v>
      </c>
      <c r="P13" s="307"/>
      <c r="Q13" s="306"/>
      <c r="R13" s="328"/>
    </row>
    <row r="14" spans="1:18" ht="24.5">
      <c r="A14" s="309" t="s">
        <v>1395</v>
      </c>
      <c r="B14" s="431"/>
      <c r="C14" s="310" t="s">
        <v>1392</v>
      </c>
      <c r="D14" s="311">
        <v>32</v>
      </c>
      <c r="E14" s="312">
        <v>2022</v>
      </c>
      <c r="F14" s="312" t="s">
        <v>49</v>
      </c>
      <c r="G14" s="312" t="s">
        <v>1391</v>
      </c>
      <c r="H14" s="313"/>
      <c r="I14" s="312"/>
      <c r="J14" s="302"/>
      <c r="K14" s="310" t="s">
        <v>1392</v>
      </c>
      <c r="L14" s="311">
        <v>25</v>
      </c>
      <c r="M14" s="312">
        <v>2022</v>
      </c>
      <c r="N14" s="312" t="s">
        <v>49</v>
      </c>
      <c r="O14" s="312" t="s">
        <v>1391</v>
      </c>
      <c r="P14" s="313"/>
      <c r="Q14" s="312"/>
      <c r="R14" s="327"/>
    </row>
    <row r="15" spans="1:18" ht="24.5">
      <c r="A15" s="303" t="s">
        <v>1395</v>
      </c>
      <c r="B15" s="430"/>
      <c r="C15" s="304" t="s">
        <v>1392</v>
      </c>
      <c r="D15" s="305">
        <v>20</v>
      </c>
      <c r="E15" s="306">
        <v>2022</v>
      </c>
      <c r="F15" s="306" t="s">
        <v>82</v>
      </c>
      <c r="G15" s="306" t="s">
        <v>809</v>
      </c>
      <c r="H15" s="307"/>
      <c r="I15" s="306"/>
      <c r="J15" s="308"/>
      <c r="K15" s="304" t="s">
        <v>1392</v>
      </c>
      <c r="L15" s="305">
        <v>24</v>
      </c>
      <c r="M15" s="306">
        <v>2022</v>
      </c>
      <c r="N15" s="306" t="s">
        <v>82</v>
      </c>
      <c r="O15" s="306" t="s">
        <v>809</v>
      </c>
      <c r="P15" s="307"/>
      <c r="Q15" s="306"/>
      <c r="R15" s="328"/>
    </row>
    <row r="16" spans="1:18" ht="24.5">
      <c r="A16" s="309" t="s">
        <v>1395</v>
      </c>
      <c r="B16" s="431"/>
      <c r="C16" s="310" t="s">
        <v>1392</v>
      </c>
      <c r="D16" s="311">
        <v>20</v>
      </c>
      <c r="E16" s="312">
        <v>2022</v>
      </c>
      <c r="F16" s="312" t="s">
        <v>82</v>
      </c>
      <c r="G16" s="312" t="s">
        <v>813</v>
      </c>
      <c r="H16" s="313"/>
      <c r="I16" s="312"/>
      <c r="J16" s="302"/>
      <c r="K16" s="310" t="s">
        <v>1392</v>
      </c>
      <c r="L16" s="311">
        <v>29</v>
      </c>
      <c r="M16" s="312">
        <v>2022</v>
      </c>
      <c r="N16" s="312" t="s">
        <v>82</v>
      </c>
      <c r="O16" s="312" t="s">
        <v>813</v>
      </c>
      <c r="P16" s="313"/>
      <c r="Q16" s="312"/>
      <c r="R16" s="327"/>
    </row>
    <row r="17" spans="1:18" ht="24.5">
      <c r="A17" s="303" t="s">
        <v>1395</v>
      </c>
      <c r="B17" s="430"/>
      <c r="C17" s="304" t="s">
        <v>1392</v>
      </c>
      <c r="D17" s="305">
        <v>20</v>
      </c>
      <c r="E17" s="306">
        <v>2022</v>
      </c>
      <c r="F17" s="306" t="s">
        <v>82</v>
      </c>
      <c r="G17" s="306" t="s">
        <v>817</v>
      </c>
      <c r="H17" s="307"/>
      <c r="I17" s="306"/>
      <c r="J17" s="308"/>
      <c r="K17" s="304" t="s">
        <v>1392</v>
      </c>
      <c r="L17" s="305">
        <v>5</v>
      </c>
      <c r="M17" s="306">
        <v>2022</v>
      </c>
      <c r="N17" s="306" t="s">
        <v>82</v>
      </c>
      <c r="O17" s="306" t="s">
        <v>817</v>
      </c>
      <c r="P17" s="307"/>
      <c r="Q17" s="306"/>
      <c r="R17" s="328"/>
    </row>
    <row r="18" spans="1:18" ht="24.5">
      <c r="A18" s="540" t="s">
        <v>46</v>
      </c>
      <c r="B18" s="432"/>
      <c r="C18" s="516" t="s">
        <v>1392</v>
      </c>
      <c r="D18" s="542">
        <v>435</v>
      </c>
      <c r="E18" s="544">
        <v>2022</v>
      </c>
      <c r="F18" s="534" t="s">
        <v>49</v>
      </c>
      <c r="G18" s="534"/>
      <c r="H18" s="538"/>
      <c r="I18" s="534"/>
      <c r="J18" s="536"/>
      <c r="K18" s="310" t="s">
        <v>1392</v>
      </c>
      <c r="L18" s="311">
        <v>235</v>
      </c>
      <c r="M18" s="311">
        <v>2022</v>
      </c>
      <c r="N18" s="312" t="s">
        <v>49</v>
      </c>
      <c r="O18" s="312" t="s">
        <v>801</v>
      </c>
      <c r="P18" s="313"/>
      <c r="Q18" s="312"/>
      <c r="R18" s="327"/>
    </row>
    <row r="19" spans="1:18" ht="24.5">
      <c r="A19" s="541"/>
      <c r="B19" s="433"/>
      <c r="C19" s="517"/>
      <c r="D19" s="543"/>
      <c r="E19" s="545"/>
      <c r="F19" s="535"/>
      <c r="G19" s="535"/>
      <c r="H19" s="539"/>
      <c r="I19" s="535"/>
      <c r="J19" s="537"/>
      <c r="K19" s="304" t="s">
        <v>1392</v>
      </c>
      <c r="L19" s="305">
        <v>200</v>
      </c>
      <c r="M19" s="305">
        <v>2022</v>
      </c>
      <c r="N19" s="306" t="s">
        <v>49</v>
      </c>
      <c r="O19" s="306" t="s">
        <v>803</v>
      </c>
      <c r="P19" s="307"/>
      <c r="Q19" s="306"/>
      <c r="R19" s="328"/>
    </row>
    <row r="20" spans="1:18" ht="24.5">
      <c r="A20" s="309" t="s">
        <v>1396</v>
      </c>
      <c r="B20" s="431"/>
      <c r="C20" s="310" t="s">
        <v>1392</v>
      </c>
      <c r="D20" s="311">
        <v>13</v>
      </c>
      <c r="E20" s="312">
        <v>2022</v>
      </c>
      <c r="F20" s="312" t="s">
        <v>49</v>
      </c>
      <c r="G20" s="312" t="s">
        <v>801</v>
      </c>
      <c r="H20" s="313"/>
      <c r="I20" s="312"/>
      <c r="J20" s="302"/>
      <c r="K20" s="310" t="s">
        <v>1392</v>
      </c>
      <c r="L20" s="311">
        <v>13</v>
      </c>
      <c r="M20" s="311">
        <v>2022</v>
      </c>
      <c r="N20" s="312" t="s">
        <v>49</v>
      </c>
      <c r="O20" s="312" t="s">
        <v>801</v>
      </c>
      <c r="P20" s="313"/>
      <c r="Q20" s="312"/>
      <c r="R20" s="327"/>
    </row>
    <row r="21" spans="1:18" ht="24.5">
      <c r="A21" s="303" t="s">
        <v>1396</v>
      </c>
      <c r="B21" s="430"/>
      <c r="C21" s="304" t="s">
        <v>1392</v>
      </c>
      <c r="D21" s="305">
        <v>23</v>
      </c>
      <c r="E21" s="306">
        <v>2022</v>
      </c>
      <c r="F21" s="306" t="s">
        <v>49</v>
      </c>
      <c r="G21" s="306" t="s">
        <v>803</v>
      </c>
      <c r="H21" s="307"/>
      <c r="I21" s="306"/>
      <c r="J21" s="308"/>
      <c r="K21" s="304" t="s">
        <v>1392</v>
      </c>
      <c r="L21" s="305">
        <v>23</v>
      </c>
      <c r="M21" s="305">
        <v>2022</v>
      </c>
      <c r="N21" s="306" t="s">
        <v>49</v>
      </c>
      <c r="O21" s="306" t="s">
        <v>803</v>
      </c>
      <c r="P21" s="307"/>
      <c r="Q21" s="306"/>
      <c r="R21" s="328"/>
    </row>
    <row r="22" spans="1:18" ht="24.5">
      <c r="A22" s="309" t="s">
        <v>1396</v>
      </c>
      <c r="B22" s="431"/>
      <c r="C22" s="310" t="s">
        <v>1392</v>
      </c>
      <c r="D22" s="311">
        <v>17</v>
      </c>
      <c r="E22" s="312">
        <v>2022</v>
      </c>
      <c r="F22" s="312" t="s">
        <v>49</v>
      </c>
      <c r="G22" s="312" t="s">
        <v>1391</v>
      </c>
      <c r="H22" s="313"/>
      <c r="I22" s="312"/>
      <c r="J22" s="302"/>
      <c r="K22" s="310" t="s">
        <v>1392</v>
      </c>
      <c r="L22" s="311">
        <v>17</v>
      </c>
      <c r="M22" s="311">
        <v>2022</v>
      </c>
      <c r="N22" s="312" t="s">
        <v>49</v>
      </c>
      <c r="O22" s="312" t="s">
        <v>1391</v>
      </c>
      <c r="P22" s="313"/>
      <c r="Q22" s="312"/>
      <c r="R22" s="327"/>
    </row>
    <row r="23" spans="1:18" ht="24.5">
      <c r="A23" s="303" t="s">
        <v>1397</v>
      </c>
      <c r="B23" s="430"/>
      <c r="C23" s="304" t="s">
        <v>1392</v>
      </c>
      <c r="D23" s="305">
        <v>10</v>
      </c>
      <c r="E23" s="306">
        <v>2022</v>
      </c>
      <c r="F23" s="306" t="s">
        <v>49</v>
      </c>
      <c r="G23" s="306"/>
      <c r="H23" s="307"/>
      <c r="I23" s="306"/>
      <c r="J23" s="308"/>
      <c r="K23" s="304" t="s">
        <v>1392</v>
      </c>
      <c r="L23" s="305">
        <v>3</v>
      </c>
      <c r="M23" s="306">
        <v>2022</v>
      </c>
      <c r="N23" s="306" t="s">
        <v>49</v>
      </c>
      <c r="O23" s="306" t="s">
        <v>1391</v>
      </c>
      <c r="P23" s="307"/>
      <c r="Q23" s="306"/>
      <c r="R23" s="328"/>
    </row>
    <row r="24" spans="1:18" ht="24.5">
      <c r="A24" s="309" t="s">
        <v>1386</v>
      </c>
      <c r="B24" s="431"/>
      <c r="C24" s="310" t="s">
        <v>1392</v>
      </c>
      <c r="D24" s="311">
        <v>16</v>
      </c>
      <c r="E24" s="312">
        <v>2022</v>
      </c>
      <c r="F24" s="312" t="s">
        <v>82</v>
      </c>
      <c r="G24" s="312" t="s">
        <v>813</v>
      </c>
      <c r="H24" s="313">
        <v>44683</v>
      </c>
      <c r="I24" s="300" t="s">
        <v>1388</v>
      </c>
      <c r="J24" s="302" t="s">
        <v>1389</v>
      </c>
      <c r="K24" s="310" t="s">
        <v>1392</v>
      </c>
      <c r="L24" s="311">
        <v>16</v>
      </c>
      <c r="M24" s="312">
        <v>2022</v>
      </c>
      <c r="N24" s="312" t="s">
        <v>82</v>
      </c>
      <c r="O24" s="312" t="s">
        <v>813</v>
      </c>
      <c r="P24" s="313">
        <v>44683</v>
      </c>
      <c r="Q24" s="300" t="s">
        <v>1388</v>
      </c>
      <c r="R24" s="327"/>
    </row>
    <row r="25" spans="1:18" ht="24.5">
      <c r="A25" s="309" t="s">
        <v>1386</v>
      </c>
      <c r="B25" s="431"/>
      <c r="C25" s="310" t="s">
        <v>1392</v>
      </c>
      <c r="D25" s="311">
        <v>45</v>
      </c>
      <c r="E25" s="312">
        <v>2022</v>
      </c>
      <c r="F25" s="312" t="s">
        <v>82</v>
      </c>
      <c r="G25" s="312" t="s">
        <v>813</v>
      </c>
      <c r="H25" s="313">
        <v>44704</v>
      </c>
      <c r="I25" s="300" t="s">
        <v>1388</v>
      </c>
      <c r="J25" s="302" t="s">
        <v>1390</v>
      </c>
      <c r="K25" s="310" t="s">
        <v>1392</v>
      </c>
      <c r="L25" s="311">
        <v>45</v>
      </c>
      <c r="M25" s="312">
        <v>2022</v>
      </c>
      <c r="N25" s="312" t="s">
        <v>82</v>
      </c>
      <c r="O25" s="312" t="s">
        <v>813</v>
      </c>
      <c r="P25" s="313">
        <v>44704</v>
      </c>
      <c r="Q25" s="300" t="s">
        <v>1388</v>
      </c>
      <c r="R25" s="327"/>
    </row>
    <row r="26" spans="1:18" ht="24.5">
      <c r="A26" s="314" t="s">
        <v>918</v>
      </c>
      <c r="B26" s="434"/>
      <c r="C26" s="315" t="s">
        <v>1392</v>
      </c>
      <c r="D26" s="305">
        <v>14</v>
      </c>
      <c r="E26" s="306">
        <v>2022</v>
      </c>
      <c r="F26" s="306" t="s">
        <v>82</v>
      </c>
      <c r="G26" s="306" t="s">
        <v>813</v>
      </c>
      <c r="H26" s="307">
        <v>44704</v>
      </c>
      <c r="I26" s="306" t="s">
        <v>1388</v>
      </c>
      <c r="J26" s="308" t="s">
        <v>1390</v>
      </c>
      <c r="K26" s="315" t="s">
        <v>1392</v>
      </c>
      <c r="L26" s="305">
        <v>14</v>
      </c>
      <c r="M26" s="306">
        <v>2022</v>
      </c>
      <c r="N26" s="306" t="s">
        <v>82</v>
      </c>
      <c r="O26" s="306" t="s">
        <v>813</v>
      </c>
      <c r="P26" s="307">
        <v>44704</v>
      </c>
      <c r="Q26" s="306" t="s">
        <v>1388</v>
      </c>
      <c r="R26" s="328"/>
    </row>
    <row r="27" spans="1:18" ht="24.5">
      <c r="A27" s="309" t="s">
        <v>713</v>
      </c>
      <c r="B27" s="431"/>
      <c r="C27" s="310" t="s">
        <v>1387</v>
      </c>
      <c r="D27" s="311">
        <v>94</v>
      </c>
      <c r="E27" s="312">
        <v>2022</v>
      </c>
      <c r="F27" s="312" t="s">
        <v>82</v>
      </c>
      <c r="G27" s="312" t="s">
        <v>809</v>
      </c>
      <c r="H27" s="313"/>
      <c r="I27" s="312"/>
      <c r="J27" s="302"/>
      <c r="K27" s="310" t="s">
        <v>1387</v>
      </c>
      <c r="L27" s="311">
        <v>82</v>
      </c>
      <c r="M27" s="311">
        <v>2022</v>
      </c>
      <c r="N27" s="312" t="s">
        <v>82</v>
      </c>
      <c r="O27" s="312" t="s">
        <v>809</v>
      </c>
      <c r="P27" s="313"/>
      <c r="Q27" s="312"/>
      <c r="R27" s="327">
        <v>22</v>
      </c>
    </row>
    <row r="28" spans="1:18" ht="24.5">
      <c r="A28" s="303" t="s">
        <v>713</v>
      </c>
      <c r="B28" s="430"/>
      <c r="C28" s="304" t="s">
        <v>1387</v>
      </c>
      <c r="D28" s="305">
        <v>111</v>
      </c>
      <c r="E28" s="306">
        <v>2022</v>
      </c>
      <c r="F28" s="306" t="s">
        <v>82</v>
      </c>
      <c r="G28" s="306" t="s">
        <v>813</v>
      </c>
      <c r="H28" s="307"/>
      <c r="I28" s="306"/>
      <c r="J28" s="308"/>
      <c r="K28" s="304" t="s">
        <v>1387</v>
      </c>
      <c r="L28" s="305">
        <v>99</v>
      </c>
      <c r="M28" s="305">
        <v>2022</v>
      </c>
      <c r="N28" s="306" t="s">
        <v>82</v>
      </c>
      <c r="O28" s="306" t="s">
        <v>813</v>
      </c>
      <c r="P28" s="307"/>
      <c r="Q28" s="306"/>
      <c r="R28" s="328">
        <v>9</v>
      </c>
    </row>
    <row r="29" spans="1:18" ht="24.5">
      <c r="A29" s="309" t="s">
        <v>713</v>
      </c>
      <c r="B29" s="431"/>
      <c r="C29" s="310" t="s">
        <v>1387</v>
      </c>
      <c r="D29" s="311">
        <v>154</v>
      </c>
      <c r="E29" s="312">
        <v>2022</v>
      </c>
      <c r="F29" s="312" t="s">
        <v>82</v>
      </c>
      <c r="G29" s="312" t="s">
        <v>817</v>
      </c>
      <c r="H29" s="313"/>
      <c r="I29" s="312"/>
      <c r="J29" s="302"/>
      <c r="K29" s="310" t="s">
        <v>1387</v>
      </c>
      <c r="L29" s="311">
        <v>136</v>
      </c>
      <c r="M29" s="311">
        <v>2022</v>
      </c>
      <c r="N29" s="312" t="s">
        <v>82</v>
      </c>
      <c r="O29" s="312" t="s">
        <v>817</v>
      </c>
      <c r="P29" s="313"/>
      <c r="Q29" s="312"/>
      <c r="R29" s="327">
        <v>14</v>
      </c>
    </row>
    <row r="30" spans="1:18">
      <c r="A30" s="303" t="s">
        <v>1135</v>
      </c>
      <c r="B30" s="430"/>
      <c r="C30" s="304"/>
      <c r="D30" s="305">
        <v>30</v>
      </c>
      <c r="E30" s="306">
        <v>2022</v>
      </c>
      <c r="F30" s="306" t="s">
        <v>82</v>
      </c>
      <c r="G30" s="306"/>
      <c r="H30" s="307"/>
      <c r="I30" s="306"/>
      <c r="J30" s="308"/>
      <c r="K30" s="304"/>
      <c r="L30" s="305"/>
      <c r="M30" s="305"/>
      <c r="N30" s="306"/>
      <c r="O30" s="306"/>
      <c r="P30" s="307"/>
      <c r="Q30" s="306"/>
      <c r="R30" s="328"/>
    </row>
    <row r="31" spans="1:18" ht="24.5">
      <c r="A31" s="309" t="s">
        <v>1361</v>
      </c>
      <c r="B31" s="431"/>
      <c r="C31" s="310" t="s">
        <v>1392</v>
      </c>
      <c r="D31" s="311">
        <v>173</v>
      </c>
      <c r="E31" s="312">
        <v>2022</v>
      </c>
      <c r="F31" s="312" t="s">
        <v>82</v>
      </c>
      <c r="G31" s="312"/>
      <c r="H31" s="313"/>
      <c r="I31" s="312"/>
      <c r="J31" s="302"/>
      <c r="K31" s="310"/>
      <c r="L31" s="311">
        <v>0</v>
      </c>
      <c r="M31" s="311"/>
      <c r="N31" s="312"/>
      <c r="O31" s="312"/>
      <c r="P31" s="313"/>
      <c r="Q31" s="312"/>
      <c r="R31" s="327"/>
    </row>
    <row r="32" spans="1:18" ht="24.5">
      <c r="A32" s="303" t="s">
        <v>1361</v>
      </c>
      <c r="B32" s="430"/>
      <c r="C32" s="304" t="s">
        <v>1392</v>
      </c>
      <c r="D32" s="305">
        <v>23</v>
      </c>
      <c r="E32" s="306">
        <v>2022</v>
      </c>
      <c r="F32" s="306" t="s">
        <v>82</v>
      </c>
      <c r="G32" s="306"/>
      <c r="H32" s="307"/>
      <c r="I32" s="306"/>
      <c r="J32" s="308"/>
      <c r="K32" s="304"/>
      <c r="L32" s="305">
        <v>0</v>
      </c>
      <c r="M32" s="305"/>
      <c r="N32" s="306"/>
      <c r="O32" s="306"/>
      <c r="P32" s="307"/>
      <c r="Q32" s="306"/>
      <c r="R32" s="328"/>
    </row>
    <row r="33" spans="1:18" ht="24.5">
      <c r="A33" s="309" t="s">
        <v>1393</v>
      </c>
      <c r="B33" s="431"/>
      <c r="C33" s="310" t="s">
        <v>1392</v>
      </c>
      <c r="D33" s="311">
        <v>8</v>
      </c>
      <c r="E33" s="312">
        <v>2022</v>
      </c>
      <c r="F33" s="312" t="s">
        <v>82</v>
      </c>
      <c r="G33" s="312"/>
      <c r="H33" s="313"/>
      <c r="I33" s="312" t="s">
        <v>283</v>
      </c>
      <c r="J33" s="302" t="s">
        <v>1394</v>
      </c>
      <c r="K33" s="310" t="s">
        <v>1392</v>
      </c>
      <c r="L33" s="311">
        <v>12</v>
      </c>
      <c r="M33" s="311">
        <v>2022</v>
      </c>
      <c r="N33" s="312"/>
      <c r="O33" s="312"/>
      <c r="P33" s="313"/>
      <c r="Q33" s="312" t="s">
        <v>283</v>
      </c>
      <c r="R33" s="327"/>
    </row>
    <row r="34" spans="1:18" ht="24.5">
      <c r="A34" s="303" t="s">
        <v>1396</v>
      </c>
      <c r="B34" s="430"/>
      <c r="C34" s="304" t="s">
        <v>1392</v>
      </c>
      <c r="D34" s="305">
        <v>15</v>
      </c>
      <c r="E34" s="306">
        <v>2022</v>
      </c>
      <c r="F34" s="306" t="s">
        <v>82</v>
      </c>
      <c r="G34" s="306" t="s">
        <v>809</v>
      </c>
      <c r="H34" s="307"/>
      <c r="I34" s="306"/>
      <c r="J34" s="308"/>
      <c r="K34" s="304" t="s">
        <v>1392</v>
      </c>
      <c r="L34" s="305">
        <v>7</v>
      </c>
      <c r="M34" s="305">
        <v>2022</v>
      </c>
      <c r="N34" s="306" t="s">
        <v>82</v>
      </c>
      <c r="O34" s="306" t="s">
        <v>809</v>
      </c>
      <c r="P34" s="307"/>
      <c r="Q34" s="306"/>
      <c r="R34" s="328"/>
    </row>
    <row r="35" spans="1:18" ht="24.5">
      <c r="A35" s="309" t="s">
        <v>1396</v>
      </c>
      <c r="B35" s="431"/>
      <c r="C35" s="310" t="s">
        <v>1392</v>
      </c>
      <c r="D35" s="311">
        <v>15</v>
      </c>
      <c r="E35" s="312">
        <v>2022</v>
      </c>
      <c r="F35" s="312" t="s">
        <v>82</v>
      </c>
      <c r="G35" s="312" t="s">
        <v>813</v>
      </c>
      <c r="H35" s="313"/>
      <c r="I35" s="312"/>
      <c r="J35" s="302"/>
      <c r="K35" s="310" t="s">
        <v>1392</v>
      </c>
      <c r="L35" s="311">
        <v>12</v>
      </c>
      <c r="M35" s="311">
        <v>2022</v>
      </c>
      <c r="N35" s="312" t="s">
        <v>82</v>
      </c>
      <c r="O35" s="312" t="s">
        <v>813</v>
      </c>
      <c r="P35" s="313"/>
      <c r="Q35" s="312"/>
      <c r="R35" s="327"/>
    </row>
    <row r="36" spans="1:18" ht="24.5">
      <c r="A36" s="303" t="s">
        <v>1396</v>
      </c>
      <c r="B36" s="430"/>
      <c r="C36" s="304" t="s">
        <v>1392</v>
      </c>
      <c r="D36" s="305">
        <v>40</v>
      </c>
      <c r="E36" s="306">
        <v>2022</v>
      </c>
      <c r="F36" s="306" t="s">
        <v>82</v>
      </c>
      <c r="G36" s="306" t="s">
        <v>817</v>
      </c>
      <c r="H36" s="307"/>
      <c r="I36" s="306"/>
      <c r="J36" s="308"/>
      <c r="K36" s="304" t="s">
        <v>1392</v>
      </c>
      <c r="L36" s="305">
        <v>6</v>
      </c>
      <c r="M36" s="305">
        <v>2022</v>
      </c>
      <c r="N36" s="306" t="s">
        <v>82</v>
      </c>
      <c r="O36" s="306" t="s">
        <v>817</v>
      </c>
      <c r="P36" s="307"/>
      <c r="Q36" s="306"/>
      <c r="R36" s="328"/>
    </row>
    <row r="37" spans="1:18" ht="24.5">
      <c r="A37" s="514" t="s">
        <v>1397</v>
      </c>
      <c r="B37" s="435"/>
      <c r="C37" s="516" t="s">
        <v>1392</v>
      </c>
      <c r="D37" s="518">
        <v>20</v>
      </c>
      <c r="E37" s="520">
        <v>2022</v>
      </c>
      <c r="F37" s="522" t="s">
        <v>82</v>
      </c>
      <c r="G37" s="522"/>
      <c r="H37" s="524"/>
      <c r="I37" s="522"/>
      <c r="J37" s="536"/>
      <c r="K37" s="310" t="s">
        <v>1392</v>
      </c>
      <c r="L37" s="311">
        <v>2</v>
      </c>
      <c r="M37" s="311">
        <v>2022</v>
      </c>
      <c r="N37" s="312" t="s">
        <v>82</v>
      </c>
      <c r="O37" s="312" t="s">
        <v>813</v>
      </c>
      <c r="P37" s="313"/>
      <c r="Q37" s="312"/>
      <c r="R37" s="327">
        <v>1</v>
      </c>
    </row>
    <row r="38" spans="1:18" ht="24.5">
      <c r="A38" s="515"/>
      <c r="B38" s="436"/>
      <c r="C38" s="517"/>
      <c r="D38" s="519"/>
      <c r="E38" s="521"/>
      <c r="F38" s="523"/>
      <c r="G38" s="523"/>
      <c r="H38" s="525"/>
      <c r="I38" s="523"/>
      <c r="J38" s="537"/>
      <c r="K38" s="304" t="s">
        <v>1392</v>
      </c>
      <c r="L38" s="305">
        <v>1</v>
      </c>
      <c r="M38" s="305">
        <v>2022</v>
      </c>
      <c r="N38" s="306" t="s">
        <v>82</v>
      </c>
      <c r="O38" s="306" t="s">
        <v>817</v>
      </c>
      <c r="P38" s="307"/>
      <c r="Q38" s="306"/>
      <c r="R38" s="328"/>
    </row>
    <row r="39" spans="1:18" ht="24.5">
      <c r="A39" s="309" t="s">
        <v>1398</v>
      </c>
      <c r="B39" s="431"/>
      <c r="C39" s="310" t="s">
        <v>1392</v>
      </c>
      <c r="D39" s="311">
        <v>6</v>
      </c>
      <c r="E39" s="312">
        <v>2022</v>
      </c>
      <c r="F39" s="312" t="s">
        <v>82</v>
      </c>
      <c r="G39" s="312" t="s">
        <v>817</v>
      </c>
      <c r="H39" s="313">
        <v>44732</v>
      </c>
      <c r="I39" s="300" t="s">
        <v>1388</v>
      </c>
      <c r="J39" s="302" t="s">
        <v>1390</v>
      </c>
      <c r="K39" s="310" t="s">
        <v>1392</v>
      </c>
      <c r="L39" s="311">
        <v>6</v>
      </c>
      <c r="M39" s="312">
        <v>2022</v>
      </c>
      <c r="N39" s="312" t="s">
        <v>82</v>
      </c>
      <c r="O39" s="312" t="s">
        <v>817</v>
      </c>
      <c r="P39" s="313">
        <v>44732</v>
      </c>
      <c r="Q39" s="300" t="s">
        <v>1388</v>
      </c>
      <c r="R39" s="302"/>
    </row>
    <row r="40" spans="1:18" ht="24.5">
      <c r="A40" s="309" t="s">
        <v>1398</v>
      </c>
      <c r="B40" s="431"/>
      <c r="C40" s="310" t="s">
        <v>1387</v>
      </c>
      <c r="D40" s="311">
        <v>8</v>
      </c>
      <c r="E40" s="312">
        <v>2022</v>
      </c>
      <c r="F40" s="312" t="s">
        <v>93</v>
      </c>
      <c r="G40" s="312" t="s">
        <v>822</v>
      </c>
      <c r="H40" s="313">
        <v>44747</v>
      </c>
      <c r="I40" s="300" t="s">
        <v>1388</v>
      </c>
      <c r="J40" s="302" t="s">
        <v>1390</v>
      </c>
      <c r="K40" s="310" t="s">
        <v>1387</v>
      </c>
      <c r="L40" s="311">
        <v>8</v>
      </c>
      <c r="M40" s="312">
        <v>2022</v>
      </c>
      <c r="N40" s="312" t="s">
        <v>93</v>
      </c>
      <c r="O40" s="312" t="s">
        <v>822</v>
      </c>
      <c r="P40" s="313">
        <v>44747</v>
      </c>
      <c r="Q40" s="300" t="s">
        <v>1388</v>
      </c>
      <c r="R40" s="327"/>
    </row>
    <row r="41" spans="1:18" ht="24.5">
      <c r="A41" s="303" t="s">
        <v>1386</v>
      </c>
      <c r="B41" s="430"/>
      <c r="C41" s="304" t="s">
        <v>1387</v>
      </c>
      <c r="D41" s="305">
        <v>14</v>
      </c>
      <c r="E41" s="306">
        <v>2022</v>
      </c>
      <c r="F41" s="306" t="s">
        <v>93</v>
      </c>
      <c r="G41" s="306" t="s">
        <v>829</v>
      </c>
      <c r="H41" s="307">
        <v>44810</v>
      </c>
      <c r="I41" s="306" t="s">
        <v>1388</v>
      </c>
      <c r="J41" s="308" t="s">
        <v>1389</v>
      </c>
      <c r="K41" s="304" t="s">
        <v>1387</v>
      </c>
      <c r="L41" s="305">
        <v>14</v>
      </c>
      <c r="M41" s="306">
        <v>2022</v>
      </c>
      <c r="N41" s="306" t="s">
        <v>93</v>
      </c>
      <c r="O41" s="306" t="s">
        <v>829</v>
      </c>
      <c r="P41" s="307">
        <v>44810</v>
      </c>
      <c r="Q41" s="306" t="s">
        <v>1388</v>
      </c>
      <c r="R41" s="328"/>
    </row>
    <row r="42" spans="1:18" ht="24.5">
      <c r="A42" s="309" t="s">
        <v>713</v>
      </c>
      <c r="B42" s="431"/>
      <c r="C42" s="310" t="s">
        <v>1387</v>
      </c>
      <c r="D42" s="311">
        <v>165</v>
      </c>
      <c r="E42" s="312">
        <v>2022</v>
      </c>
      <c r="F42" s="312" t="s">
        <v>93</v>
      </c>
      <c r="G42" s="312" t="s">
        <v>822</v>
      </c>
      <c r="H42" s="313"/>
      <c r="I42" s="312"/>
      <c r="J42" s="302"/>
      <c r="K42" s="310" t="s">
        <v>1387</v>
      </c>
      <c r="L42" s="311">
        <v>123</v>
      </c>
      <c r="M42" s="311">
        <v>2022</v>
      </c>
      <c r="N42" s="312" t="s">
        <v>93</v>
      </c>
      <c r="O42" s="312" t="s">
        <v>822</v>
      </c>
      <c r="P42" s="313"/>
      <c r="Q42" s="312"/>
      <c r="R42" s="327">
        <v>8</v>
      </c>
    </row>
    <row r="43" spans="1:18" ht="24.5">
      <c r="A43" s="303" t="s">
        <v>713</v>
      </c>
      <c r="B43" s="430"/>
      <c r="C43" s="304" t="s">
        <v>1387</v>
      </c>
      <c r="D43" s="305">
        <v>174</v>
      </c>
      <c r="E43" s="306">
        <v>2022</v>
      </c>
      <c r="F43" s="306" t="s">
        <v>93</v>
      </c>
      <c r="G43" s="306" t="s">
        <v>824</v>
      </c>
      <c r="H43" s="307"/>
      <c r="I43" s="306"/>
      <c r="J43" s="308"/>
      <c r="K43" s="304" t="s">
        <v>1387</v>
      </c>
      <c r="L43" s="305">
        <v>129</v>
      </c>
      <c r="M43" s="305">
        <v>2022</v>
      </c>
      <c r="N43" s="306" t="s">
        <v>93</v>
      </c>
      <c r="O43" s="306" t="s">
        <v>824</v>
      </c>
      <c r="P43" s="307"/>
      <c r="Q43" s="306"/>
      <c r="R43" s="328">
        <v>10</v>
      </c>
    </row>
    <row r="44" spans="1:18" ht="24.5">
      <c r="A44" s="309" t="s">
        <v>713</v>
      </c>
      <c r="B44" s="431"/>
      <c r="C44" s="310" t="s">
        <v>1387</v>
      </c>
      <c r="D44" s="311">
        <v>115</v>
      </c>
      <c r="E44" s="312">
        <v>2022</v>
      </c>
      <c r="F44" s="312" t="s">
        <v>93</v>
      </c>
      <c r="G44" s="312" t="s">
        <v>829</v>
      </c>
      <c r="H44" s="313"/>
      <c r="I44" s="312"/>
      <c r="J44" s="302"/>
      <c r="K44" s="310" t="s">
        <v>1387</v>
      </c>
      <c r="L44" s="311">
        <v>83</v>
      </c>
      <c r="M44" s="311">
        <v>2022</v>
      </c>
      <c r="N44" s="312" t="s">
        <v>93</v>
      </c>
      <c r="O44" s="312" t="s">
        <v>829</v>
      </c>
      <c r="P44" s="313"/>
      <c r="Q44" s="312"/>
      <c r="R44" s="327" t="s">
        <v>1399</v>
      </c>
    </row>
    <row r="45" spans="1:18" ht="24.5">
      <c r="A45" s="303" t="s">
        <v>1135</v>
      </c>
      <c r="B45" s="430"/>
      <c r="C45" s="304" t="s">
        <v>1392</v>
      </c>
      <c r="D45" s="305">
        <v>112</v>
      </c>
      <c r="E45" s="306">
        <v>2022</v>
      </c>
      <c r="F45" s="306" t="s">
        <v>93</v>
      </c>
      <c r="G45" s="306"/>
      <c r="H45" s="307"/>
      <c r="I45" s="306"/>
      <c r="J45" s="308"/>
      <c r="K45" s="304" t="s">
        <v>1392</v>
      </c>
      <c r="L45" s="305">
        <v>30</v>
      </c>
      <c r="M45" s="305">
        <v>2022</v>
      </c>
      <c r="N45" s="306" t="s">
        <v>93</v>
      </c>
      <c r="O45" s="306" t="s">
        <v>824</v>
      </c>
      <c r="P45" s="307"/>
      <c r="Q45" s="306"/>
      <c r="R45" s="328"/>
    </row>
    <row r="46" spans="1:18" ht="24.5">
      <c r="A46" s="309" t="s">
        <v>1299</v>
      </c>
      <c r="B46" s="431"/>
      <c r="C46" s="310" t="s">
        <v>1392</v>
      </c>
      <c r="D46" s="311">
        <v>164</v>
      </c>
      <c r="E46" s="312">
        <v>2022</v>
      </c>
      <c r="F46" s="312" t="s">
        <v>93</v>
      </c>
      <c r="G46" s="312"/>
      <c r="H46" s="313"/>
      <c r="I46" s="312"/>
      <c r="J46" s="302"/>
      <c r="K46" s="310"/>
      <c r="L46" s="311">
        <v>0</v>
      </c>
      <c r="M46" s="311"/>
      <c r="N46" s="312"/>
      <c r="O46" s="312"/>
      <c r="P46" s="313"/>
      <c r="Q46" s="312"/>
      <c r="R46" s="327"/>
    </row>
    <row r="47" spans="1:18" ht="24.5">
      <c r="A47" s="309" t="s">
        <v>1304</v>
      </c>
      <c r="B47" s="431"/>
      <c r="C47" s="310" t="s">
        <v>1392</v>
      </c>
      <c r="D47" s="311">
        <v>9</v>
      </c>
      <c r="E47" s="312">
        <v>2022</v>
      </c>
      <c r="F47" s="312" t="s">
        <v>49</v>
      </c>
      <c r="G47" s="312" t="s">
        <v>801</v>
      </c>
      <c r="H47" s="313" t="s">
        <v>809</v>
      </c>
      <c r="I47" s="312" t="s">
        <v>1388</v>
      </c>
      <c r="J47" s="302" t="s">
        <v>1400</v>
      </c>
      <c r="K47" s="310" t="s">
        <v>1392</v>
      </c>
      <c r="L47" s="311">
        <v>9</v>
      </c>
      <c r="M47" s="311">
        <v>2022</v>
      </c>
      <c r="N47" s="312" t="s">
        <v>49</v>
      </c>
      <c r="O47" s="312" t="s">
        <v>801</v>
      </c>
      <c r="P47" s="313">
        <v>44677</v>
      </c>
      <c r="Q47" s="312" t="s">
        <v>1388</v>
      </c>
      <c r="R47" s="327"/>
    </row>
    <row r="48" spans="1:18" ht="24.5">
      <c r="A48" s="309" t="s">
        <v>1304</v>
      </c>
      <c r="B48" s="431"/>
      <c r="C48" s="310" t="s">
        <v>1392</v>
      </c>
      <c r="D48" s="311">
        <v>34</v>
      </c>
      <c r="E48" s="312">
        <v>2022</v>
      </c>
      <c r="F48" s="312" t="s">
        <v>49</v>
      </c>
      <c r="G48" s="312" t="s">
        <v>803</v>
      </c>
      <c r="H48" s="313" t="s">
        <v>809</v>
      </c>
      <c r="I48" s="312" t="s">
        <v>1388</v>
      </c>
      <c r="J48" s="302" t="s">
        <v>1400</v>
      </c>
      <c r="K48" s="310" t="s">
        <v>1392</v>
      </c>
      <c r="L48" s="311">
        <v>34</v>
      </c>
      <c r="M48" s="311">
        <v>2022</v>
      </c>
      <c r="N48" s="312" t="s">
        <v>49</v>
      </c>
      <c r="O48" s="312" t="s">
        <v>803</v>
      </c>
      <c r="P48" s="313">
        <v>44677</v>
      </c>
      <c r="Q48" s="312" t="s">
        <v>1388</v>
      </c>
      <c r="R48" s="327"/>
    </row>
    <row r="49" spans="1:18" ht="25" thickBot="1">
      <c r="A49" s="309" t="s">
        <v>1304</v>
      </c>
      <c r="B49" s="431"/>
      <c r="C49" s="310" t="s">
        <v>1392</v>
      </c>
      <c r="D49" s="311">
        <v>20</v>
      </c>
      <c r="E49" s="312">
        <v>2022</v>
      </c>
      <c r="F49" s="312" t="s">
        <v>49</v>
      </c>
      <c r="G49" s="312" t="s">
        <v>1391</v>
      </c>
      <c r="H49" s="313" t="s">
        <v>809</v>
      </c>
      <c r="I49" s="312" t="s">
        <v>1388</v>
      </c>
      <c r="J49" s="302" t="s">
        <v>1400</v>
      </c>
      <c r="K49" s="310" t="s">
        <v>1392</v>
      </c>
      <c r="L49" s="311">
        <v>20</v>
      </c>
      <c r="M49" s="311">
        <v>2022</v>
      </c>
      <c r="N49" s="312" t="s">
        <v>49</v>
      </c>
      <c r="O49" s="476" t="s">
        <v>1391</v>
      </c>
      <c r="P49" s="313">
        <v>44677</v>
      </c>
      <c r="Q49" s="312" t="s">
        <v>1388</v>
      </c>
      <c r="R49" s="327"/>
    </row>
    <row r="50" spans="1:18" ht="25" thickBot="1">
      <c r="A50" s="309" t="s">
        <v>1304</v>
      </c>
      <c r="B50" s="431"/>
      <c r="C50" s="310" t="s">
        <v>1392</v>
      </c>
      <c r="D50" s="311">
        <v>17</v>
      </c>
      <c r="E50" s="312">
        <v>2022</v>
      </c>
      <c r="F50" s="312" t="s">
        <v>82</v>
      </c>
      <c r="G50" s="312" t="s">
        <v>809</v>
      </c>
      <c r="H50" s="311" t="s">
        <v>809</v>
      </c>
      <c r="I50" s="312" t="s">
        <v>1388</v>
      </c>
      <c r="J50" s="311" t="s">
        <v>1401</v>
      </c>
      <c r="K50" s="310" t="s">
        <v>1392</v>
      </c>
      <c r="L50" s="311">
        <v>17</v>
      </c>
      <c r="M50" s="311">
        <v>2022</v>
      </c>
      <c r="N50" s="312" t="s">
        <v>82</v>
      </c>
      <c r="O50" s="476" t="s">
        <v>809</v>
      </c>
      <c r="P50" s="313">
        <v>44677</v>
      </c>
      <c r="Q50" s="311" t="s">
        <v>1388</v>
      </c>
      <c r="R50" s="311"/>
    </row>
    <row r="51" spans="1:18" ht="25" thickBot="1">
      <c r="A51" s="309" t="s">
        <v>1304</v>
      </c>
      <c r="B51" s="431"/>
      <c r="C51" s="310" t="s">
        <v>1392</v>
      </c>
      <c r="D51" s="311">
        <v>75</v>
      </c>
      <c r="E51" s="312">
        <v>2022</v>
      </c>
      <c r="F51" s="312" t="s">
        <v>82</v>
      </c>
      <c r="G51" s="312" t="s">
        <v>813</v>
      </c>
      <c r="H51" s="311" t="s">
        <v>813</v>
      </c>
      <c r="I51" s="312" t="s">
        <v>1388</v>
      </c>
      <c r="J51" s="311" t="s">
        <v>1401</v>
      </c>
      <c r="K51" s="310" t="s">
        <v>1392</v>
      </c>
      <c r="L51" s="311">
        <v>75</v>
      </c>
      <c r="M51" s="311">
        <v>2022</v>
      </c>
      <c r="N51" s="312" t="s">
        <v>82</v>
      </c>
      <c r="O51" s="476" t="s">
        <v>813</v>
      </c>
      <c r="P51" s="313">
        <v>44684</v>
      </c>
      <c r="Q51" s="311" t="s">
        <v>1388</v>
      </c>
      <c r="R51" s="311"/>
    </row>
    <row r="52" spans="1:18" ht="25" thickBot="1">
      <c r="A52" s="309" t="s">
        <v>1304</v>
      </c>
      <c r="B52" s="431"/>
      <c r="C52" s="310" t="s">
        <v>1392</v>
      </c>
      <c r="D52" s="311">
        <v>33</v>
      </c>
      <c r="E52" s="312">
        <v>2022</v>
      </c>
      <c r="F52" s="312" t="s">
        <v>82</v>
      </c>
      <c r="G52" s="312" t="s">
        <v>817</v>
      </c>
      <c r="H52" s="311" t="s">
        <v>817</v>
      </c>
      <c r="I52" s="312" t="s">
        <v>1388</v>
      </c>
      <c r="J52" s="311" t="s">
        <v>1401</v>
      </c>
      <c r="K52" s="310" t="s">
        <v>1392</v>
      </c>
      <c r="L52" s="311">
        <v>33</v>
      </c>
      <c r="M52" s="311">
        <v>2022</v>
      </c>
      <c r="N52" s="312" t="s">
        <v>82</v>
      </c>
      <c r="O52" s="476" t="s">
        <v>817</v>
      </c>
      <c r="P52" s="313">
        <v>44726</v>
      </c>
      <c r="Q52" s="311" t="s">
        <v>1388</v>
      </c>
      <c r="R52" s="311"/>
    </row>
    <row r="53" spans="1:18" ht="25" thickBot="1">
      <c r="A53" s="309" t="s">
        <v>1304</v>
      </c>
      <c r="B53" s="431"/>
      <c r="C53" s="310" t="s">
        <v>1392</v>
      </c>
      <c r="D53" s="311">
        <v>25</v>
      </c>
      <c r="E53" s="312">
        <v>2022</v>
      </c>
      <c r="F53" s="312" t="s">
        <v>93</v>
      </c>
      <c r="G53" s="312" t="s">
        <v>822</v>
      </c>
      <c r="H53" s="311" t="s">
        <v>822</v>
      </c>
      <c r="I53" s="312" t="s">
        <v>1388</v>
      </c>
      <c r="J53" s="311" t="s">
        <v>1401</v>
      </c>
      <c r="K53" s="310" t="s">
        <v>1392</v>
      </c>
      <c r="L53" s="311">
        <v>25</v>
      </c>
      <c r="M53" s="311">
        <v>2022</v>
      </c>
      <c r="N53" s="312" t="s">
        <v>93</v>
      </c>
      <c r="O53" s="476" t="s">
        <v>822</v>
      </c>
      <c r="P53" s="313">
        <v>44760</v>
      </c>
      <c r="Q53" s="311" t="s">
        <v>1388</v>
      </c>
      <c r="R53" s="311"/>
    </row>
    <row r="54" spans="1:18" ht="25" thickBot="1">
      <c r="A54" s="309" t="s">
        <v>1304</v>
      </c>
      <c r="B54" s="431"/>
      <c r="C54" s="310" t="s">
        <v>1392</v>
      </c>
      <c r="D54" s="311">
        <v>32</v>
      </c>
      <c r="E54" s="312">
        <v>2022</v>
      </c>
      <c r="F54" s="312" t="s">
        <v>93</v>
      </c>
      <c r="G54" s="312" t="s">
        <v>824</v>
      </c>
      <c r="H54" s="311" t="s">
        <v>824</v>
      </c>
      <c r="I54" s="312" t="s">
        <v>1388</v>
      </c>
      <c r="J54" s="311" t="s">
        <v>1401</v>
      </c>
      <c r="K54" s="310" t="s">
        <v>1392</v>
      </c>
      <c r="L54" s="311">
        <v>32</v>
      </c>
      <c r="M54" s="311">
        <v>2022</v>
      </c>
      <c r="N54" s="312" t="s">
        <v>93</v>
      </c>
      <c r="O54" s="476" t="s">
        <v>824</v>
      </c>
      <c r="P54" s="313">
        <v>44789</v>
      </c>
      <c r="Q54" s="311" t="s">
        <v>1388</v>
      </c>
      <c r="R54" s="311"/>
    </row>
    <row r="55" spans="1:18" ht="25" thickBot="1">
      <c r="A55" s="309" t="s">
        <v>1304</v>
      </c>
      <c r="B55" s="431"/>
      <c r="C55" s="310" t="s">
        <v>1392</v>
      </c>
      <c r="D55" s="311">
        <v>73</v>
      </c>
      <c r="E55" s="312">
        <v>2022</v>
      </c>
      <c r="F55" s="312" t="s">
        <v>93</v>
      </c>
      <c r="G55" s="312" t="s">
        <v>829</v>
      </c>
      <c r="H55" s="311" t="s">
        <v>829</v>
      </c>
      <c r="I55" s="312" t="s">
        <v>1388</v>
      </c>
      <c r="J55" s="311" t="s">
        <v>1401</v>
      </c>
      <c r="K55" s="310" t="s">
        <v>1392</v>
      </c>
      <c r="L55" s="311">
        <v>73</v>
      </c>
      <c r="M55" s="311">
        <v>2022</v>
      </c>
      <c r="N55" s="312" t="s">
        <v>93</v>
      </c>
      <c r="O55" s="476" t="s">
        <v>829</v>
      </c>
      <c r="P55" s="313">
        <v>44823</v>
      </c>
      <c r="Q55" s="311" t="s">
        <v>1388</v>
      </c>
      <c r="R55" s="311"/>
    </row>
    <row r="56" spans="1:18" ht="25" thickBot="1">
      <c r="A56" s="309" t="s">
        <v>1304</v>
      </c>
      <c r="B56" s="431"/>
      <c r="C56" s="310" t="s">
        <v>1392</v>
      </c>
      <c r="D56" s="311">
        <v>15</v>
      </c>
      <c r="E56" s="312">
        <v>2022</v>
      </c>
      <c r="F56" s="312" t="s">
        <v>106</v>
      </c>
      <c r="G56" s="312" t="s">
        <v>832</v>
      </c>
      <c r="H56" s="311" t="s">
        <v>832</v>
      </c>
      <c r="I56" s="312" t="s">
        <v>1388</v>
      </c>
      <c r="J56" s="311" t="s">
        <v>1401</v>
      </c>
      <c r="K56" s="310" t="s">
        <v>1392</v>
      </c>
      <c r="L56" s="311">
        <v>13</v>
      </c>
      <c r="M56" s="311">
        <v>2022</v>
      </c>
      <c r="N56" s="312" t="s">
        <v>106</v>
      </c>
      <c r="O56" s="476" t="s">
        <v>832</v>
      </c>
      <c r="P56" s="313">
        <v>44844</v>
      </c>
      <c r="Q56" s="311" t="s">
        <v>1388</v>
      </c>
      <c r="R56" s="311"/>
    </row>
    <row r="57" spans="1:18" ht="24.5">
      <c r="A57" s="309" t="s">
        <v>1304</v>
      </c>
      <c r="B57" s="431"/>
      <c r="C57" s="310" t="s">
        <v>1392</v>
      </c>
      <c r="D57" s="311">
        <v>10</v>
      </c>
      <c r="E57" s="312">
        <v>2022</v>
      </c>
      <c r="F57" s="312" t="s">
        <v>106</v>
      </c>
      <c r="G57" s="312" t="s">
        <v>1402</v>
      </c>
      <c r="H57" s="311" t="s">
        <v>834</v>
      </c>
      <c r="I57" s="312" t="s">
        <v>1388</v>
      </c>
      <c r="J57" s="311" t="s">
        <v>1401</v>
      </c>
      <c r="K57" s="310" t="s">
        <v>1392</v>
      </c>
      <c r="L57" s="311">
        <v>15</v>
      </c>
      <c r="M57" s="311">
        <v>2022</v>
      </c>
      <c r="N57" s="311" t="s">
        <v>106</v>
      </c>
      <c r="O57" s="311" t="s">
        <v>1402</v>
      </c>
      <c r="P57" s="404" t="s">
        <v>1403</v>
      </c>
      <c r="Q57" s="311" t="s">
        <v>283</v>
      </c>
      <c r="R57" s="311"/>
    </row>
    <row r="58" spans="1:18" ht="24.5">
      <c r="A58" s="309" t="s">
        <v>1304</v>
      </c>
      <c r="B58" s="431"/>
      <c r="C58" s="310" t="s">
        <v>1392</v>
      </c>
      <c r="D58" s="311">
        <v>5</v>
      </c>
      <c r="E58" s="312">
        <v>2022</v>
      </c>
      <c r="F58" s="312" t="s">
        <v>106</v>
      </c>
      <c r="G58" s="312" t="s">
        <v>796</v>
      </c>
      <c r="H58" s="311" t="s">
        <v>796</v>
      </c>
      <c r="I58" s="312" t="s">
        <v>1388</v>
      </c>
      <c r="J58" s="311" t="s">
        <v>1401</v>
      </c>
      <c r="K58" s="310" t="s">
        <v>1392</v>
      </c>
      <c r="L58" s="311">
        <v>25</v>
      </c>
      <c r="M58" s="311">
        <v>2022</v>
      </c>
      <c r="N58" s="311" t="s">
        <v>106</v>
      </c>
      <c r="O58" s="311" t="s">
        <v>796</v>
      </c>
      <c r="P58" s="404" t="s">
        <v>1403</v>
      </c>
      <c r="Q58" s="311" t="s">
        <v>283</v>
      </c>
      <c r="R58" s="311"/>
    </row>
    <row r="59" spans="1:18" ht="24.5">
      <c r="A59" s="309" t="s">
        <v>366</v>
      </c>
      <c r="B59" s="431"/>
      <c r="C59" s="310" t="s">
        <v>1392</v>
      </c>
      <c r="D59" s="311">
        <v>15</v>
      </c>
      <c r="E59" s="312">
        <v>2023</v>
      </c>
      <c r="F59" s="312" t="s">
        <v>49</v>
      </c>
      <c r="G59" s="312" t="s">
        <v>801</v>
      </c>
      <c r="H59" s="311" t="s">
        <v>801</v>
      </c>
      <c r="I59" s="312" t="s">
        <v>1388</v>
      </c>
      <c r="J59" s="311" t="s">
        <v>1401</v>
      </c>
      <c r="K59" s="310" t="s">
        <v>1392</v>
      </c>
      <c r="L59" s="311"/>
      <c r="M59" s="311"/>
      <c r="N59" s="311"/>
      <c r="O59" s="311"/>
      <c r="P59" s="311"/>
      <c r="Q59" s="311"/>
      <c r="R59" s="311"/>
    </row>
    <row r="60" spans="1:18" ht="24.5">
      <c r="A60" s="309" t="s">
        <v>366</v>
      </c>
      <c r="B60" s="431"/>
      <c r="C60" s="310" t="s">
        <v>1392</v>
      </c>
      <c r="D60" s="311">
        <v>15</v>
      </c>
      <c r="E60" s="312">
        <v>2023</v>
      </c>
      <c r="F60" s="312" t="s">
        <v>49</v>
      </c>
      <c r="G60" s="312" t="s">
        <v>803</v>
      </c>
      <c r="H60" s="311" t="s">
        <v>803</v>
      </c>
      <c r="I60" s="312" t="s">
        <v>1388</v>
      </c>
      <c r="J60" s="311" t="s">
        <v>1401</v>
      </c>
      <c r="K60" s="310" t="s">
        <v>1392</v>
      </c>
      <c r="L60" s="311"/>
      <c r="M60" s="311"/>
      <c r="N60" s="311"/>
      <c r="O60" s="311"/>
      <c r="P60" s="311"/>
      <c r="Q60" s="311"/>
      <c r="R60" s="311"/>
    </row>
    <row r="61" spans="1:18" ht="24.5">
      <c r="A61" s="309" t="s">
        <v>366</v>
      </c>
      <c r="B61" s="431"/>
      <c r="C61" s="310" t="s">
        <v>1392</v>
      </c>
      <c r="D61" s="311">
        <v>15</v>
      </c>
      <c r="E61" s="312">
        <v>2023</v>
      </c>
      <c r="F61" s="312" t="s">
        <v>49</v>
      </c>
      <c r="G61" s="312" t="s">
        <v>1391</v>
      </c>
      <c r="H61" s="311" t="s">
        <v>806</v>
      </c>
      <c r="I61" s="312" t="s">
        <v>1388</v>
      </c>
      <c r="J61" s="311" t="s">
        <v>1401</v>
      </c>
      <c r="K61" s="310" t="s">
        <v>1392</v>
      </c>
      <c r="L61" s="311"/>
      <c r="M61" s="311"/>
      <c r="N61" s="311"/>
      <c r="O61" s="311"/>
      <c r="P61" s="311"/>
      <c r="Q61" s="311"/>
      <c r="R61" s="311"/>
    </row>
    <row r="62" spans="1:18" ht="24.5">
      <c r="A62" s="309" t="s">
        <v>1393</v>
      </c>
      <c r="B62" s="431"/>
      <c r="C62" s="310" t="s">
        <v>1392</v>
      </c>
      <c r="D62" s="311">
        <v>41</v>
      </c>
      <c r="E62" s="312">
        <v>2022</v>
      </c>
      <c r="F62" s="312" t="s">
        <v>93</v>
      </c>
      <c r="G62" s="312"/>
      <c r="H62" s="313"/>
      <c r="I62" s="312" t="s">
        <v>283</v>
      </c>
      <c r="J62" s="302" t="s">
        <v>1394</v>
      </c>
      <c r="K62" s="310" t="s">
        <v>1392</v>
      </c>
      <c r="L62" s="311">
        <v>30</v>
      </c>
      <c r="M62" s="311">
        <v>2022</v>
      </c>
      <c r="N62" s="312"/>
      <c r="O62" s="312"/>
      <c r="P62" s="313"/>
      <c r="Q62" s="312" t="s">
        <v>283</v>
      </c>
      <c r="R62" s="327">
        <v>17</v>
      </c>
    </row>
    <row r="63" spans="1:18" ht="24.5">
      <c r="A63" s="303" t="s">
        <v>1395</v>
      </c>
      <c r="B63" s="430"/>
      <c r="C63" s="304" t="s">
        <v>1392</v>
      </c>
      <c r="D63" s="305">
        <v>11</v>
      </c>
      <c r="E63" s="306">
        <v>2022</v>
      </c>
      <c r="F63" s="306" t="s">
        <v>93</v>
      </c>
      <c r="G63" s="306" t="s">
        <v>822</v>
      </c>
      <c r="H63" s="307"/>
      <c r="I63" s="306"/>
      <c r="J63" s="308"/>
      <c r="K63" s="304" t="s">
        <v>1392</v>
      </c>
      <c r="L63" s="305">
        <v>11</v>
      </c>
      <c r="M63" s="306">
        <v>2022</v>
      </c>
      <c r="N63" s="306" t="s">
        <v>93</v>
      </c>
      <c r="O63" s="306" t="s">
        <v>822</v>
      </c>
      <c r="P63" s="307"/>
      <c r="Q63" s="306"/>
      <c r="R63" s="328"/>
    </row>
    <row r="64" spans="1:18" ht="24.5">
      <c r="A64" s="309" t="s">
        <v>1396</v>
      </c>
      <c r="B64" s="431"/>
      <c r="C64" s="310" t="s">
        <v>1392</v>
      </c>
      <c r="D64" s="311">
        <v>20</v>
      </c>
      <c r="E64" s="312">
        <v>2022</v>
      </c>
      <c r="F64" s="312" t="s">
        <v>93</v>
      </c>
      <c r="G64" s="312" t="s">
        <v>822</v>
      </c>
      <c r="H64" s="313"/>
      <c r="I64" s="312"/>
      <c r="J64" s="302"/>
      <c r="K64" s="310" t="s">
        <v>1392</v>
      </c>
      <c r="L64" s="311">
        <v>12</v>
      </c>
      <c r="M64" s="311">
        <v>2022</v>
      </c>
      <c r="N64" s="312" t="s">
        <v>93</v>
      </c>
      <c r="O64" s="312" t="s">
        <v>822</v>
      </c>
      <c r="P64" s="313"/>
      <c r="Q64" s="312"/>
      <c r="R64" s="327"/>
    </row>
    <row r="65" spans="1:18" ht="24.5">
      <c r="A65" s="303" t="s">
        <v>1396</v>
      </c>
      <c r="B65" s="430"/>
      <c r="C65" s="304" t="s">
        <v>1392</v>
      </c>
      <c r="D65" s="305">
        <v>20</v>
      </c>
      <c r="E65" s="306">
        <v>2022</v>
      </c>
      <c r="F65" s="306" t="s">
        <v>93</v>
      </c>
      <c r="G65" s="306" t="s">
        <v>824</v>
      </c>
      <c r="H65" s="307"/>
      <c r="I65" s="306"/>
      <c r="J65" s="308"/>
      <c r="K65" s="304" t="s">
        <v>1392</v>
      </c>
      <c r="L65" s="305">
        <v>0</v>
      </c>
      <c r="M65" s="305">
        <v>2022</v>
      </c>
      <c r="N65" s="306" t="s">
        <v>93</v>
      </c>
      <c r="O65" s="306" t="s">
        <v>824</v>
      </c>
      <c r="P65" s="307"/>
      <c r="Q65" s="306"/>
      <c r="R65" s="328"/>
    </row>
    <row r="66" spans="1:18" ht="24.5">
      <c r="A66" s="309" t="s">
        <v>1396</v>
      </c>
      <c r="B66" s="431"/>
      <c r="C66" s="310" t="s">
        <v>1392</v>
      </c>
      <c r="D66" s="311">
        <v>20</v>
      </c>
      <c r="E66" s="312">
        <v>2022</v>
      </c>
      <c r="F66" s="312" t="s">
        <v>93</v>
      </c>
      <c r="G66" s="312" t="s">
        <v>829</v>
      </c>
      <c r="H66" s="313"/>
      <c r="I66" s="312"/>
      <c r="J66" s="302"/>
      <c r="K66" s="310" t="s">
        <v>1392</v>
      </c>
      <c r="L66" s="311">
        <v>0</v>
      </c>
      <c r="M66" s="311">
        <v>2022</v>
      </c>
      <c r="N66" s="312" t="s">
        <v>93</v>
      </c>
      <c r="O66" s="312" t="s">
        <v>829</v>
      </c>
      <c r="P66" s="313"/>
      <c r="Q66" s="312"/>
      <c r="R66" s="327"/>
    </row>
    <row r="67" spans="1:18" ht="24.5">
      <c r="A67" s="303" t="s">
        <v>1397</v>
      </c>
      <c r="B67" s="430"/>
      <c r="C67" s="304" t="s">
        <v>1392</v>
      </c>
      <c r="D67" s="305">
        <v>2</v>
      </c>
      <c r="E67" s="306">
        <v>2022</v>
      </c>
      <c r="F67" s="306" t="s">
        <v>93</v>
      </c>
      <c r="G67" s="306" t="s">
        <v>824</v>
      </c>
      <c r="H67" s="307"/>
      <c r="I67" s="306"/>
      <c r="J67" s="308"/>
      <c r="K67" s="304" t="s">
        <v>1392</v>
      </c>
      <c r="L67" s="305">
        <v>1</v>
      </c>
      <c r="M67" s="306">
        <v>2022</v>
      </c>
      <c r="N67" s="306" t="s">
        <v>82</v>
      </c>
      <c r="O67" s="306" t="s">
        <v>817</v>
      </c>
      <c r="P67" s="307"/>
      <c r="Q67" s="306"/>
      <c r="R67" s="328">
        <v>1</v>
      </c>
    </row>
    <row r="68" spans="1:18" ht="24.5">
      <c r="A68" s="309" t="s">
        <v>1397</v>
      </c>
      <c r="B68" s="431"/>
      <c r="C68" s="310" t="s">
        <v>1392</v>
      </c>
      <c r="D68" s="311">
        <v>2</v>
      </c>
      <c r="E68" s="312">
        <v>2022</v>
      </c>
      <c r="F68" s="312" t="s">
        <v>93</v>
      </c>
      <c r="G68" s="312" t="s">
        <v>829</v>
      </c>
      <c r="H68" s="313"/>
      <c r="I68" s="312"/>
      <c r="J68" s="302"/>
      <c r="K68" s="310" t="s">
        <v>1392</v>
      </c>
      <c r="L68" s="311">
        <v>4</v>
      </c>
      <c r="M68" s="311">
        <v>2022</v>
      </c>
      <c r="N68" s="312" t="s">
        <v>93</v>
      </c>
      <c r="O68" s="312" t="s">
        <v>824</v>
      </c>
      <c r="P68" s="313"/>
      <c r="Q68" s="312"/>
      <c r="R68" s="327">
        <v>1</v>
      </c>
    </row>
    <row r="69" spans="1:18" ht="24.5">
      <c r="A69" s="303" t="s">
        <v>713</v>
      </c>
      <c r="B69" s="430"/>
      <c r="C69" s="310" t="s">
        <v>1387</v>
      </c>
      <c r="D69" s="305">
        <v>59</v>
      </c>
      <c r="E69" s="306">
        <v>2022</v>
      </c>
      <c r="F69" s="306" t="s">
        <v>93</v>
      </c>
      <c r="G69" s="306" t="s">
        <v>832</v>
      </c>
      <c r="H69" s="307"/>
      <c r="I69" s="306"/>
      <c r="J69" s="308"/>
      <c r="K69" s="304" t="s">
        <v>1387</v>
      </c>
      <c r="L69" s="305">
        <v>25</v>
      </c>
      <c r="M69" s="305">
        <v>2022</v>
      </c>
      <c r="N69" s="306" t="s">
        <v>106</v>
      </c>
      <c r="O69" s="306" t="s">
        <v>832</v>
      </c>
      <c r="P69" s="307"/>
      <c r="Q69" s="306"/>
      <c r="R69" s="328" t="s">
        <v>1399</v>
      </c>
    </row>
    <row r="70" spans="1:18" ht="24.5">
      <c r="A70" s="309" t="s">
        <v>713</v>
      </c>
      <c r="B70" s="431"/>
      <c r="C70" s="310" t="s">
        <v>1387</v>
      </c>
      <c r="D70" s="311">
        <v>136</v>
      </c>
      <c r="E70" s="312">
        <v>2022</v>
      </c>
      <c r="F70" s="312" t="s">
        <v>93</v>
      </c>
      <c r="G70" s="312" t="s">
        <v>1402</v>
      </c>
      <c r="H70" s="313"/>
      <c r="I70" s="312"/>
      <c r="J70" s="302"/>
      <c r="K70" s="310" t="s">
        <v>1387</v>
      </c>
      <c r="L70" s="311">
        <v>56</v>
      </c>
      <c r="M70" s="311">
        <v>2022</v>
      </c>
      <c r="N70" s="312" t="s">
        <v>106</v>
      </c>
      <c r="O70" s="312" t="s">
        <v>1402</v>
      </c>
      <c r="P70" s="313"/>
      <c r="Q70" s="312"/>
      <c r="R70" s="327" t="s">
        <v>1399</v>
      </c>
    </row>
    <row r="71" spans="1:18" ht="24.5">
      <c r="A71" s="303" t="s">
        <v>713</v>
      </c>
      <c r="B71" s="430"/>
      <c r="C71" s="310" t="s">
        <v>1387</v>
      </c>
      <c r="D71" s="305">
        <v>108</v>
      </c>
      <c r="E71" s="306">
        <v>2022</v>
      </c>
      <c r="F71" s="306" t="s">
        <v>93</v>
      </c>
      <c r="G71" s="306" t="s">
        <v>796</v>
      </c>
      <c r="H71" s="307"/>
      <c r="I71" s="306"/>
      <c r="J71" s="308"/>
      <c r="K71" s="304" t="s">
        <v>1387</v>
      </c>
      <c r="L71" s="305">
        <v>45</v>
      </c>
      <c r="M71" s="305">
        <v>2022</v>
      </c>
      <c r="N71" s="306" t="s">
        <v>106</v>
      </c>
      <c r="O71" s="306" t="s">
        <v>796</v>
      </c>
      <c r="P71" s="307"/>
      <c r="Q71" s="306"/>
      <c r="R71" s="328" t="s">
        <v>1399</v>
      </c>
    </row>
    <row r="72" spans="1:18" ht="24.5">
      <c r="A72" s="309" t="s">
        <v>1361</v>
      </c>
      <c r="B72" s="431"/>
      <c r="C72" s="310" t="s">
        <v>1387</v>
      </c>
      <c r="D72" s="311">
        <v>16</v>
      </c>
      <c r="E72" s="312">
        <v>2022</v>
      </c>
      <c r="F72" s="312" t="s">
        <v>106</v>
      </c>
      <c r="G72" s="312" t="s">
        <v>1402</v>
      </c>
      <c r="H72" s="313">
        <v>44893</v>
      </c>
      <c r="I72" s="312" t="s">
        <v>1388</v>
      </c>
      <c r="J72" s="302" t="s">
        <v>1404</v>
      </c>
      <c r="K72" s="310" t="s">
        <v>1387</v>
      </c>
      <c r="L72" s="311">
        <v>12</v>
      </c>
      <c r="M72" s="311">
        <v>2022</v>
      </c>
      <c r="N72" s="312" t="s">
        <v>106</v>
      </c>
      <c r="O72" s="312" t="s">
        <v>1402</v>
      </c>
      <c r="P72" s="313">
        <v>44893</v>
      </c>
      <c r="Q72" s="312" t="s">
        <v>1388</v>
      </c>
      <c r="R72" s="327"/>
    </row>
    <row r="73" spans="1:18" ht="24.5">
      <c r="A73" s="309" t="s">
        <v>1393</v>
      </c>
      <c r="B73" s="431"/>
      <c r="C73" s="310" t="s">
        <v>1392</v>
      </c>
      <c r="D73" s="311">
        <v>5</v>
      </c>
      <c r="E73" s="312">
        <v>2022</v>
      </c>
      <c r="F73" s="312" t="s">
        <v>106</v>
      </c>
      <c r="G73" s="312"/>
      <c r="H73" s="313"/>
      <c r="I73" s="312" t="s">
        <v>283</v>
      </c>
      <c r="J73" s="302" t="s">
        <v>1394</v>
      </c>
      <c r="K73" s="310" t="s">
        <v>1392</v>
      </c>
      <c r="L73" s="311">
        <v>8</v>
      </c>
      <c r="M73" s="311">
        <v>2022</v>
      </c>
      <c r="N73" s="312"/>
      <c r="O73" s="312"/>
      <c r="P73" s="313"/>
      <c r="Q73" s="312" t="s">
        <v>283</v>
      </c>
      <c r="R73" s="327"/>
    </row>
    <row r="74" spans="1:18" ht="24.5">
      <c r="A74" s="303" t="s">
        <v>1396</v>
      </c>
      <c r="B74" s="430"/>
      <c r="C74" s="304" t="s">
        <v>1392</v>
      </c>
      <c r="D74" s="305">
        <v>15</v>
      </c>
      <c r="E74" s="306">
        <v>2022</v>
      </c>
      <c r="F74" s="306" t="s">
        <v>106</v>
      </c>
      <c r="G74" s="306" t="s">
        <v>832</v>
      </c>
      <c r="H74" s="307"/>
      <c r="I74" s="306"/>
      <c r="J74" s="308"/>
      <c r="K74" s="304"/>
      <c r="L74" s="305"/>
      <c r="M74" s="305"/>
      <c r="N74" s="306"/>
      <c r="O74" s="306"/>
      <c r="P74" s="307"/>
      <c r="Q74" s="306"/>
      <c r="R74" s="328"/>
    </row>
    <row r="75" spans="1:18" ht="24.5">
      <c r="A75" s="309" t="s">
        <v>1396</v>
      </c>
      <c r="B75" s="431"/>
      <c r="C75" s="310" t="s">
        <v>1392</v>
      </c>
      <c r="D75" s="311">
        <v>15</v>
      </c>
      <c r="E75" s="312">
        <v>2022</v>
      </c>
      <c r="F75" s="312" t="s">
        <v>106</v>
      </c>
      <c r="G75" s="312" t="s">
        <v>1402</v>
      </c>
      <c r="H75" s="313"/>
      <c r="I75" s="312"/>
      <c r="J75" s="302"/>
      <c r="K75" s="310"/>
      <c r="L75" s="311"/>
      <c r="M75" s="311"/>
      <c r="N75" s="312"/>
      <c r="O75" s="312"/>
      <c r="P75" s="313"/>
      <c r="Q75" s="312"/>
      <c r="R75" s="327"/>
    </row>
    <row r="76" spans="1:18" ht="24.5">
      <c r="A76" s="303" t="s">
        <v>1396</v>
      </c>
      <c r="B76" s="430"/>
      <c r="C76" s="304" t="s">
        <v>1392</v>
      </c>
      <c r="D76" s="305">
        <v>15</v>
      </c>
      <c r="E76" s="306">
        <v>2022</v>
      </c>
      <c r="F76" s="306" t="s">
        <v>106</v>
      </c>
      <c r="G76" s="306" t="s">
        <v>796</v>
      </c>
      <c r="H76" s="307"/>
      <c r="I76" s="306"/>
      <c r="J76" s="308"/>
      <c r="K76" s="304"/>
      <c r="L76" s="305"/>
      <c r="M76" s="305"/>
      <c r="N76" s="306"/>
      <c r="O76" s="306"/>
      <c r="P76" s="307"/>
      <c r="Q76" s="306"/>
      <c r="R76" s="328"/>
    </row>
    <row r="77" spans="1:18" ht="24.5">
      <c r="A77" s="309" t="s">
        <v>1397</v>
      </c>
      <c r="B77" s="431"/>
      <c r="C77" s="310" t="s">
        <v>1392</v>
      </c>
      <c r="D77" s="311">
        <v>9</v>
      </c>
      <c r="E77" s="312">
        <v>2022</v>
      </c>
      <c r="F77" s="312" t="s">
        <v>106</v>
      </c>
      <c r="G77" s="312"/>
      <c r="H77" s="313"/>
      <c r="I77" s="312"/>
      <c r="J77" s="302"/>
      <c r="K77" s="310" t="s">
        <v>1392</v>
      </c>
      <c r="L77" s="311">
        <v>7</v>
      </c>
      <c r="M77" s="311">
        <v>2022</v>
      </c>
      <c r="N77" s="312" t="s">
        <v>106</v>
      </c>
      <c r="O77" s="312" t="s">
        <v>832</v>
      </c>
      <c r="P77" s="313"/>
      <c r="Q77" s="312"/>
      <c r="R77" s="327"/>
    </row>
    <row r="78" spans="1:18" ht="24.5">
      <c r="A78" s="303" t="s">
        <v>1386</v>
      </c>
      <c r="B78" s="430"/>
      <c r="C78" s="304" t="s">
        <v>1387</v>
      </c>
      <c r="D78" s="305">
        <v>6</v>
      </c>
      <c r="E78" s="306">
        <v>2023</v>
      </c>
      <c r="F78" s="306" t="s">
        <v>49</v>
      </c>
      <c r="G78" s="306" t="s">
        <v>801</v>
      </c>
      <c r="H78" s="307">
        <v>44929</v>
      </c>
      <c r="I78" s="306" t="s">
        <v>1388</v>
      </c>
      <c r="J78" s="308" t="s">
        <v>1390</v>
      </c>
      <c r="K78" s="304" t="s">
        <v>1387</v>
      </c>
      <c r="L78" s="305">
        <v>4</v>
      </c>
      <c r="M78" s="305">
        <v>2023</v>
      </c>
      <c r="N78" s="306" t="s">
        <v>49</v>
      </c>
      <c r="O78" s="306" t="s">
        <v>801</v>
      </c>
      <c r="P78" s="307">
        <v>44929</v>
      </c>
      <c r="Q78" s="306" t="s">
        <v>1388</v>
      </c>
      <c r="R78" s="328"/>
    </row>
    <row r="79" spans="1:18" ht="24.5">
      <c r="A79" s="309" t="s">
        <v>1386</v>
      </c>
      <c r="B79" s="431"/>
      <c r="C79" s="310" t="s">
        <v>1387</v>
      </c>
      <c r="D79" s="311">
        <v>21</v>
      </c>
      <c r="E79" s="312">
        <v>2023</v>
      </c>
      <c r="F79" s="312" t="s">
        <v>49</v>
      </c>
      <c r="G79" s="312" t="s">
        <v>801</v>
      </c>
      <c r="H79" s="313">
        <v>44929</v>
      </c>
      <c r="I79" s="312" t="s">
        <v>1388</v>
      </c>
      <c r="J79" s="302" t="s">
        <v>1389</v>
      </c>
      <c r="K79" s="310" t="s">
        <v>1387</v>
      </c>
      <c r="L79" s="311">
        <v>16</v>
      </c>
      <c r="M79" s="311">
        <v>2023</v>
      </c>
      <c r="N79" s="312" t="s">
        <v>49</v>
      </c>
      <c r="O79" s="312" t="s">
        <v>801</v>
      </c>
      <c r="P79" s="313">
        <v>44929</v>
      </c>
      <c r="Q79" s="312" t="s">
        <v>1388</v>
      </c>
      <c r="R79" s="327"/>
    </row>
    <row r="80" spans="1:18" ht="24.5">
      <c r="A80" s="303" t="s">
        <v>1386</v>
      </c>
      <c r="B80" s="430"/>
      <c r="C80" s="304" t="s">
        <v>1387</v>
      </c>
      <c r="D80" s="305">
        <v>44</v>
      </c>
      <c r="E80" s="306">
        <v>2023</v>
      </c>
      <c r="F80" s="306" t="s">
        <v>82</v>
      </c>
      <c r="G80" s="306" t="s">
        <v>813</v>
      </c>
      <c r="H80" s="307">
        <v>45047</v>
      </c>
      <c r="I80" s="306" t="s">
        <v>1388</v>
      </c>
      <c r="J80" s="308" t="s">
        <v>1389</v>
      </c>
      <c r="K80" s="304"/>
      <c r="L80" s="305"/>
      <c r="M80" s="305"/>
      <c r="N80" s="306"/>
      <c r="O80" s="306"/>
      <c r="P80" s="307"/>
      <c r="Q80" s="306"/>
      <c r="R80" s="328"/>
    </row>
    <row r="81" spans="1:18" ht="24.5">
      <c r="A81" s="309" t="s">
        <v>1386</v>
      </c>
      <c r="B81" s="431"/>
      <c r="C81" s="310" t="s">
        <v>1387</v>
      </c>
      <c r="D81" s="311">
        <v>30</v>
      </c>
      <c r="E81" s="312">
        <v>2023</v>
      </c>
      <c r="F81" s="312" t="s">
        <v>93</v>
      </c>
      <c r="G81" s="312" t="s">
        <v>829</v>
      </c>
      <c r="H81" s="313">
        <v>45174</v>
      </c>
      <c r="I81" s="312" t="s">
        <v>1388</v>
      </c>
      <c r="J81" s="302" t="s">
        <v>1389</v>
      </c>
      <c r="K81" s="310"/>
      <c r="L81" s="311"/>
      <c r="M81" s="311"/>
      <c r="N81" s="312"/>
      <c r="O81" s="312"/>
      <c r="P81" s="313"/>
      <c r="Q81" s="312"/>
      <c r="R81" s="327"/>
    </row>
    <row r="82" spans="1:18" ht="24.5">
      <c r="A82" s="303" t="s">
        <v>1386</v>
      </c>
      <c r="B82" s="430"/>
      <c r="C82" s="304" t="s">
        <v>1392</v>
      </c>
      <c r="D82" s="305">
        <v>42</v>
      </c>
      <c r="E82" s="306">
        <v>2023</v>
      </c>
      <c r="F82" s="306" t="s">
        <v>82</v>
      </c>
      <c r="G82" s="306" t="s">
        <v>813</v>
      </c>
      <c r="H82" s="307">
        <v>45068</v>
      </c>
      <c r="I82" s="306" t="s">
        <v>1388</v>
      </c>
      <c r="J82" s="308" t="s">
        <v>1390</v>
      </c>
      <c r="K82" s="304"/>
      <c r="L82" s="305"/>
      <c r="M82" s="305"/>
      <c r="N82" s="306"/>
      <c r="O82" s="306"/>
      <c r="P82" s="307"/>
      <c r="Q82" s="306"/>
      <c r="R82" s="328"/>
    </row>
    <row r="83" spans="1:18" ht="24.5">
      <c r="A83" s="309" t="s">
        <v>1386</v>
      </c>
      <c r="B83" s="431"/>
      <c r="C83" s="310" t="s">
        <v>1392</v>
      </c>
      <c r="D83" s="311">
        <v>6</v>
      </c>
      <c r="E83" s="312">
        <v>2023</v>
      </c>
      <c r="F83" s="312" t="s">
        <v>82</v>
      </c>
      <c r="G83" s="312" t="s">
        <v>817</v>
      </c>
      <c r="H83" s="313">
        <v>45096</v>
      </c>
      <c r="I83" s="312" t="s">
        <v>1388</v>
      </c>
      <c r="J83" s="302" t="s">
        <v>1390</v>
      </c>
      <c r="K83" s="310"/>
      <c r="L83" s="311"/>
      <c r="M83" s="311"/>
      <c r="N83" s="312"/>
      <c r="O83" s="312"/>
      <c r="P83" s="313"/>
      <c r="Q83" s="312"/>
      <c r="R83" s="327"/>
    </row>
    <row r="84" spans="1:18" ht="24.5">
      <c r="A84" s="303" t="s">
        <v>1386</v>
      </c>
      <c r="B84" s="430"/>
      <c r="C84" s="304" t="s">
        <v>1387</v>
      </c>
      <c r="D84" s="305">
        <v>6</v>
      </c>
      <c r="E84" s="306">
        <v>2023</v>
      </c>
      <c r="F84" s="306" t="s">
        <v>93</v>
      </c>
      <c r="G84" s="306" t="s">
        <v>822</v>
      </c>
      <c r="H84" s="307">
        <v>45112</v>
      </c>
      <c r="I84" s="306" t="s">
        <v>1388</v>
      </c>
      <c r="J84" s="308" t="s">
        <v>1390</v>
      </c>
      <c r="K84" s="304"/>
      <c r="L84" s="305"/>
      <c r="M84" s="305"/>
      <c r="N84" s="306"/>
      <c r="O84" s="306"/>
      <c r="P84" s="307"/>
      <c r="Q84" s="306"/>
      <c r="R84" s="328"/>
    </row>
    <row r="85" spans="1:18" ht="24.5">
      <c r="A85" s="309" t="s">
        <v>918</v>
      </c>
      <c r="B85" s="431"/>
      <c r="C85" s="310" t="s">
        <v>1392</v>
      </c>
      <c r="D85" s="311">
        <v>13</v>
      </c>
      <c r="E85" s="312">
        <v>2023</v>
      </c>
      <c r="F85" s="312" t="s">
        <v>82</v>
      </c>
      <c r="G85" s="312" t="s">
        <v>813</v>
      </c>
      <c r="H85" s="313">
        <v>45068</v>
      </c>
      <c r="I85" s="312" t="s">
        <v>1388</v>
      </c>
      <c r="J85" s="302" t="s">
        <v>1390</v>
      </c>
      <c r="K85" s="310"/>
      <c r="L85" s="311"/>
      <c r="M85" s="311"/>
      <c r="N85" s="312"/>
      <c r="O85" s="312"/>
      <c r="P85" s="313"/>
      <c r="Q85" s="312"/>
      <c r="R85" s="327"/>
    </row>
    <row r="86" spans="1:18" ht="24.5">
      <c r="A86" s="303" t="s">
        <v>1397</v>
      </c>
      <c r="B86" s="430"/>
      <c r="C86" s="304" t="s">
        <v>1392</v>
      </c>
      <c r="D86" s="305">
        <v>15</v>
      </c>
      <c r="E86" s="306">
        <v>2023</v>
      </c>
      <c r="F86" s="306" t="s">
        <v>49</v>
      </c>
      <c r="G86" s="306" t="s">
        <v>803</v>
      </c>
      <c r="H86" s="307"/>
      <c r="I86" s="306"/>
      <c r="J86" s="308"/>
      <c r="K86" s="304"/>
      <c r="L86" s="305"/>
      <c r="M86" s="305"/>
      <c r="N86" s="306"/>
      <c r="O86" s="306"/>
      <c r="P86" s="307"/>
      <c r="Q86" s="306"/>
      <c r="R86" s="328"/>
    </row>
    <row r="87" spans="1:18" ht="24.5">
      <c r="A87" s="309" t="s">
        <v>1397</v>
      </c>
      <c r="B87" s="431"/>
      <c r="C87" s="310" t="s">
        <v>1392</v>
      </c>
      <c r="D87" s="311">
        <v>15</v>
      </c>
      <c r="E87" s="312">
        <v>2023</v>
      </c>
      <c r="F87" s="312" t="s">
        <v>49</v>
      </c>
      <c r="G87" s="312" t="s">
        <v>1391</v>
      </c>
      <c r="H87" s="313"/>
      <c r="I87" s="312"/>
      <c r="J87" s="302"/>
      <c r="K87" s="310"/>
      <c r="L87" s="311"/>
      <c r="M87" s="311"/>
      <c r="N87" s="312"/>
      <c r="O87" s="312"/>
      <c r="P87" s="313"/>
      <c r="Q87" s="312"/>
      <c r="R87" s="327"/>
    </row>
    <row r="88" spans="1:18" ht="24.5">
      <c r="A88" s="303" t="s">
        <v>1397</v>
      </c>
      <c r="B88" s="430"/>
      <c r="C88" s="304" t="s">
        <v>1392</v>
      </c>
      <c r="D88" s="305">
        <v>15</v>
      </c>
      <c r="E88" s="306">
        <v>2023</v>
      </c>
      <c r="F88" s="306" t="s">
        <v>82</v>
      </c>
      <c r="G88" s="306" t="s">
        <v>809</v>
      </c>
      <c r="H88" s="307"/>
      <c r="I88" s="306"/>
      <c r="J88" s="308"/>
      <c r="K88" s="304"/>
      <c r="L88" s="305"/>
      <c r="M88" s="305"/>
      <c r="N88" s="306"/>
      <c r="O88" s="306"/>
      <c r="P88" s="307"/>
      <c r="Q88" s="306"/>
      <c r="R88" s="328"/>
    </row>
    <row r="89" spans="1:18" ht="24.5">
      <c r="A89" s="309" t="s">
        <v>1397</v>
      </c>
      <c r="B89" s="431"/>
      <c r="C89" s="310" t="s">
        <v>1392</v>
      </c>
      <c r="D89" s="311">
        <v>15</v>
      </c>
      <c r="E89" s="312">
        <v>2023</v>
      </c>
      <c r="F89" s="312" t="s">
        <v>82</v>
      </c>
      <c r="G89" s="312" t="s">
        <v>813</v>
      </c>
      <c r="H89" s="313"/>
      <c r="I89" s="312"/>
      <c r="J89" s="302"/>
      <c r="K89" s="310"/>
      <c r="L89" s="311"/>
      <c r="M89" s="311"/>
      <c r="N89" s="312"/>
      <c r="O89" s="312"/>
      <c r="P89" s="313"/>
      <c r="Q89" s="312"/>
      <c r="R89" s="327"/>
    </row>
    <row r="90" spans="1:18" ht="24.5">
      <c r="A90" s="303" t="s">
        <v>1397</v>
      </c>
      <c r="B90" s="430"/>
      <c r="C90" s="304" t="s">
        <v>1392</v>
      </c>
      <c r="D90" s="305">
        <v>15</v>
      </c>
      <c r="E90" s="306">
        <v>2023</v>
      </c>
      <c r="F90" s="306" t="s">
        <v>82</v>
      </c>
      <c r="G90" s="306" t="s">
        <v>817</v>
      </c>
      <c r="H90" s="307"/>
      <c r="I90" s="306"/>
      <c r="J90" s="308"/>
      <c r="K90" s="304"/>
      <c r="L90" s="305"/>
      <c r="M90" s="305"/>
      <c r="N90" s="306"/>
      <c r="O90" s="306"/>
      <c r="P90" s="307"/>
      <c r="Q90" s="306"/>
      <c r="R90" s="328"/>
    </row>
    <row r="91" spans="1:18" ht="24.5">
      <c r="A91" s="309" t="s">
        <v>1393</v>
      </c>
      <c r="B91" s="431"/>
      <c r="C91" s="310" t="s">
        <v>1392</v>
      </c>
      <c r="D91" s="311">
        <v>63</v>
      </c>
      <c r="E91" s="312">
        <v>2023</v>
      </c>
      <c r="F91" s="312" t="s">
        <v>49</v>
      </c>
      <c r="G91" s="312"/>
      <c r="H91" s="313"/>
      <c r="I91" s="312" t="s">
        <v>283</v>
      </c>
      <c r="J91" s="302" t="s">
        <v>1405</v>
      </c>
      <c r="K91" s="310"/>
      <c r="L91" s="311"/>
      <c r="M91" s="311"/>
      <c r="N91" s="312"/>
      <c r="O91" s="312"/>
      <c r="P91" s="313"/>
      <c r="Q91" s="312"/>
      <c r="R91" s="327"/>
    </row>
    <row r="92" spans="1:18" ht="24.5">
      <c r="A92" s="303" t="s">
        <v>1393</v>
      </c>
      <c r="B92" s="430"/>
      <c r="C92" s="304" t="s">
        <v>1392</v>
      </c>
      <c r="D92" s="305">
        <v>53</v>
      </c>
      <c r="E92" s="306">
        <v>2023</v>
      </c>
      <c r="F92" s="306" t="s">
        <v>93</v>
      </c>
      <c r="G92" s="306"/>
      <c r="H92" s="307"/>
      <c r="I92" s="306" t="s">
        <v>283</v>
      </c>
      <c r="J92" s="308" t="s">
        <v>1405</v>
      </c>
      <c r="K92" s="304"/>
      <c r="L92" s="305"/>
      <c r="M92" s="305"/>
      <c r="N92" s="306"/>
      <c r="O92" s="306"/>
      <c r="P92" s="307"/>
      <c r="Q92" s="306"/>
      <c r="R92" s="328"/>
    </row>
    <row r="93" spans="1:18" ht="24.5">
      <c r="A93" s="309" t="s">
        <v>46</v>
      </c>
      <c r="B93" s="431"/>
      <c r="C93" s="310" t="s">
        <v>1392</v>
      </c>
      <c r="D93" s="311">
        <v>100</v>
      </c>
      <c r="E93" s="312">
        <v>2023</v>
      </c>
      <c r="F93" s="312" t="s">
        <v>49</v>
      </c>
      <c r="G93" s="312" t="s">
        <v>803</v>
      </c>
      <c r="H93" s="313" t="s">
        <v>484</v>
      </c>
      <c r="I93" s="312" t="s">
        <v>283</v>
      </c>
      <c r="J93" s="477" t="s">
        <v>1406</v>
      </c>
      <c r="K93" s="310" t="s">
        <v>1392</v>
      </c>
      <c r="L93" s="311">
        <v>31</v>
      </c>
      <c r="M93" s="311">
        <v>2023</v>
      </c>
      <c r="N93" s="312" t="s">
        <v>49</v>
      </c>
      <c r="O93" s="312" t="s">
        <v>801</v>
      </c>
      <c r="P93" s="411">
        <v>44942</v>
      </c>
      <c r="Q93" s="312" t="s">
        <v>1388</v>
      </c>
      <c r="R93" s="327">
        <v>31</v>
      </c>
    </row>
    <row r="94" spans="1:18" ht="24.5">
      <c r="A94" s="303" t="s">
        <v>1135</v>
      </c>
      <c r="B94" s="430"/>
      <c r="C94" s="310" t="s">
        <v>1392</v>
      </c>
      <c r="D94" s="305">
        <v>29</v>
      </c>
      <c r="E94" s="306">
        <v>2023</v>
      </c>
      <c r="F94" s="306" t="s">
        <v>49</v>
      </c>
      <c r="G94" s="306"/>
      <c r="H94" s="307"/>
      <c r="I94" s="306"/>
      <c r="J94" s="308"/>
      <c r="K94" s="304"/>
      <c r="L94" s="305"/>
      <c r="M94" s="305"/>
      <c r="N94" s="306"/>
      <c r="O94" s="306"/>
      <c r="P94" s="307"/>
      <c r="Q94" s="306"/>
      <c r="R94" s="328"/>
    </row>
    <row r="95" spans="1:18" ht="24.5">
      <c r="A95" s="309" t="s">
        <v>1159</v>
      </c>
      <c r="B95" s="431"/>
      <c r="C95" s="310" t="s">
        <v>1387</v>
      </c>
      <c r="D95" s="311">
        <v>9</v>
      </c>
      <c r="E95" s="312">
        <v>2023</v>
      </c>
      <c r="F95" s="312" t="s">
        <v>82</v>
      </c>
      <c r="G95" s="312"/>
      <c r="H95" s="313"/>
      <c r="I95" s="312" t="s">
        <v>1388</v>
      </c>
      <c r="J95" s="302" t="s">
        <v>1407</v>
      </c>
      <c r="K95" s="310"/>
      <c r="L95" s="311"/>
      <c r="M95" s="311"/>
      <c r="N95" s="312"/>
      <c r="O95" s="312"/>
      <c r="P95" s="313"/>
      <c r="Q95" s="312"/>
      <c r="R95" s="327"/>
    </row>
    <row r="96" spans="1:18" ht="24.5">
      <c r="A96" s="303" t="s">
        <v>1159</v>
      </c>
      <c r="B96" s="430"/>
      <c r="C96" s="304" t="s">
        <v>1387</v>
      </c>
      <c r="D96" s="305">
        <v>9</v>
      </c>
      <c r="E96" s="306">
        <v>2023</v>
      </c>
      <c r="F96" s="306" t="s">
        <v>106</v>
      </c>
      <c r="G96" s="306"/>
      <c r="H96" s="307"/>
      <c r="I96" s="306" t="s">
        <v>1388</v>
      </c>
      <c r="J96" s="308" t="s">
        <v>1407</v>
      </c>
      <c r="K96" s="304"/>
      <c r="L96" s="305"/>
      <c r="M96" s="305"/>
      <c r="N96" s="306"/>
      <c r="O96" s="306"/>
      <c r="P96" s="307"/>
      <c r="Q96" s="306"/>
      <c r="R96" s="328"/>
    </row>
    <row r="97" spans="1:18">
      <c r="A97" s="309"/>
      <c r="B97" s="431"/>
      <c r="C97" s="310"/>
      <c r="D97" s="311"/>
      <c r="E97" s="312"/>
      <c r="F97" s="312"/>
      <c r="G97" s="312"/>
      <c r="H97" s="313"/>
      <c r="I97" s="312"/>
      <c r="J97" s="302"/>
      <c r="K97" s="310"/>
      <c r="L97" s="311"/>
      <c r="M97" s="311"/>
      <c r="N97" s="312"/>
      <c r="O97" s="312"/>
      <c r="P97" s="313"/>
      <c r="Q97" s="312"/>
      <c r="R97" s="327"/>
    </row>
    <row r="98" spans="1:18">
      <c r="A98" s="303"/>
      <c r="B98" s="430"/>
      <c r="C98" s="304"/>
      <c r="D98" s="305"/>
      <c r="E98" s="306"/>
      <c r="F98" s="306"/>
      <c r="G98" s="306"/>
      <c r="H98" s="307"/>
      <c r="I98" s="306"/>
      <c r="J98" s="308"/>
      <c r="K98" s="304"/>
      <c r="L98" s="305"/>
      <c r="M98" s="305"/>
      <c r="N98" s="306"/>
      <c r="O98" s="306"/>
      <c r="P98" s="307"/>
      <c r="Q98" s="306"/>
      <c r="R98" s="328"/>
    </row>
    <row r="99" spans="1:18">
      <c r="A99" s="309"/>
      <c r="B99" s="431"/>
      <c r="C99" s="310"/>
      <c r="D99" s="311"/>
      <c r="E99" s="312"/>
      <c r="F99" s="312"/>
      <c r="G99" s="312"/>
      <c r="H99" s="313"/>
      <c r="I99" s="312"/>
      <c r="J99" s="302"/>
      <c r="K99" s="310"/>
      <c r="L99" s="311"/>
      <c r="M99" s="311"/>
      <c r="N99" s="312"/>
      <c r="O99" s="312"/>
      <c r="P99" s="313"/>
      <c r="Q99" s="312"/>
      <c r="R99" s="327"/>
    </row>
    <row r="100" spans="1:18">
      <c r="A100" s="303"/>
      <c r="B100" s="430"/>
      <c r="C100" s="304"/>
      <c r="D100" s="305"/>
      <c r="E100" s="306"/>
      <c r="F100" s="306"/>
      <c r="G100" s="306"/>
      <c r="H100" s="307"/>
      <c r="I100" s="306"/>
      <c r="J100" s="308"/>
      <c r="K100" s="304"/>
      <c r="L100" s="305"/>
      <c r="M100" s="305"/>
      <c r="N100" s="306"/>
      <c r="O100" s="306"/>
      <c r="P100" s="307"/>
      <c r="Q100" s="306"/>
      <c r="R100" s="328"/>
    </row>
    <row r="101" spans="1:18">
      <c r="A101" s="309"/>
      <c r="B101" s="431"/>
      <c r="C101" s="310"/>
      <c r="D101" s="311"/>
      <c r="E101" s="312"/>
      <c r="F101" s="312"/>
      <c r="G101" s="312"/>
      <c r="H101" s="313"/>
      <c r="I101" s="312"/>
      <c r="J101" s="302"/>
      <c r="K101" s="310"/>
      <c r="L101" s="311"/>
      <c r="M101" s="311"/>
      <c r="N101" s="312"/>
      <c r="O101" s="312"/>
      <c r="P101" s="313"/>
      <c r="Q101" s="312"/>
      <c r="R101" s="327"/>
    </row>
    <row r="102" spans="1:18">
      <c r="A102" s="303"/>
      <c r="B102" s="430"/>
      <c r="C102" s="304"/>
      <c r="D102" s="305"/>
      <c r="E102" s="306"/>
      <c r="F102" s="306"/>
      <c r="G102" s="306"/>
      <c r="H102" s="307"/>
      <c r="I102" s="306"/>
      <c r="J102" s="308"/>
      <c r="K102" s="304"/>
      <c r="L102" s="305"/>
      <c r="M102" s="305"/>
      <c r="N102" s="306"/>
      <c r="O102" s="306"/>
      <c r="P102" s="307"/>
      <c r="Q102" s="306"/>
      <c r="R102" s="328"/>
    </row>
    <row r="103" spans="1:18">
      <c r="A103" s="309"/>
      <c r="B103" s="431"/>
      <c r="C103" s="310"/>
      <c r="D103" s="311"/>
      <c r="E103" s="312"/>
      <c r="F103" s="312"/>
      <c r="G103" s="312"/>
      <c r="H103" s="313"/>
      <c r="I103" s="312"/>
      <c r="J103" s="302"/>
      <c r="K103" s="310"/>
      <c r="L103" s="311"/>
      <c r="M103" s="311"/>
      <c r="N103" s="312"/>
      <c r="O103" s="312"/>
      <c r="P103" s="313"/>
      <c r="Q103" s="312"/>
      <c r="R103" s="327"/>
    </row>
    <row r="104" spans="1:18">
      <c r="A104" s="303"/>
      <c r="B104" s="430"/>
      <c r="C104" s="304"/>
      <c r="D104" s="305"/>
      <c r="E104" s="306"/>
      <c r="F104" s="306"/>
      <c r="G104" s="306"/>
      <c r="H104" s="307"/>
      <c r="I104" s="306"/>
      <c r="J104" s="308"/>
      <c r="K104" s="304"/>
      <c r="L104" s="305"/>
      <c r="M104" s="305"/>
      <c r="N104" s="306"/>
      <c r="O104" s="306"/>
      <c r="P104" s="307"/>
      <c r="Q104" s="306"/>
      <c r="R104" s="328"/>
    </row>
    <row r="105" spans="1:18">
      <c r="A105" s="309"/>
      <c r="B105" s="431"/>
      <c r="C105" s="310"/>
      <c r="D105" s="311"/>
      <c r="E105" s="312"/>
      <c r="F105" s="312"/>
      <c r="G105" s="312"/>
      <c r="H105" s="313"/>
      <c r="I105" s="312"/>
      <c r="J105" s="302"/>
      <c r="K105" s="310"/>
      <c r="L105" s="311"/>
      <c r="M105" s="311"/>
      <c r="N105" s="312"/>
      <c r="O105" s="312"/>
      <c r="P105" s="313"/>
      <c r="Q105" s="312"/>
      <c r="R105" s="327"/>
    </row>
    <row r="106" spans="1:18">
      <c r="A106" s="303"/>
      <c r="B106" s="430"/>
      <c r="C106" s="304"/>
      <c r="D106" s="305"/>
      <c r="E106" s="306"/>
      <c r="F106" s="306"/>
      <c r="G106" s="306"/>
      <c r="H106" s="307"/>
      <c r="I106" s="306"/>
      <c r="J106" s="308"/>
      <c r="K106" s="304"/>
      <c r="L106" s="305"/>
      <c r="M106" s="305"/>
      <c r="N106" s="306"/>
      <c r="O106" s="306"/>
      <c r="P106" s="307"/>
      <c r="Q106" s="306"/>
      <c r="R106" s="328"/>
    </row>
    <row r="107" spans="1:18">
      <c r="A107" s="309"/>
      <c r="B107" s="431"/>
      <c r="C107" s="310"/>
      <c r="D107" s="311"/>
      <c r="E107" s="312"/>
      <c r="F107" s="312"/>
      <c r="G107" s="312"/>
      <c r="H107" s="313"/>
      <c r="I107" s="312"/>
      <c r="J107" s="302"/>
      <c r="K107" s="310"/>
      <c r="L107" s="311"/>
      <c r="M107" s="311"/>
      <c r="N107" s="312"/>
      <c r="O107" s="312"/>
      <c r="P107" s="313"/>
      <c r="Q107" s="312"/>
      <c r="R107" s="327"/>
    </row>
    <row r="108" spans="1:18">
      <c r="A108" s="303"/>
      <c r="B108" s="430"/>
      <c r="C108" s="304"/>
      <c r="D108" s="305"/>
      <c r="E108" s="306"/>
      <c r="F108" s="306"/>
      <c r="G108" s="306"/>
      <c r="H108" s="307"/>
      <c r="I108" s="306"/>
      <c r="J108" s="308"/>
      <c r="K108" s="304"/>
      <c r="L108" s="305"/>
      <c r="M108" s="305"/>
      <c r="N108" s="306"/>
      <c r="O108" s="306"/>
      <c r="P108" s="307"/>
      <c r="Q108" s="306"/>
      <c r="R108" s="328"/>
    </row>
    <row r="109" spans="1:18">
      <c r="A109" s="309"/>
      <c r="B109" s="431"/>
      <c r="C109" s="310"/>
      <c r="D109" s="311"/>
      <c r="E109" s="312"/>
      <c r="F109" s="312"/>
      <c r="G109" s="312"/>
      <c r="H109" s="313"/>
      <c r="I109" s="312"/>
      <c r="J109" s="302"/>
      <c r="K109" s="310"/>
      <c r="L109" s="311"/>
      <c r="M109" s="311"/>
      <c r="N109" s="312"/>
      <c r="O109" s="312"/>
      <c r="P109" s="313"/>
      <c r="Q109" s="312"/>
      <c r="R109" s="327"/>
    </row>
    <row r="110" spans="1:18">
      <c r="A110" s="303"/>
      <c r="B110" s="430"/>
      <c r="C110" s="304"/>
      <c r="D110" s="305"/>
      <c r="E110" s="306"/>
      <c r="F110" s="306"/>
      <c r="G110" s="306"/>
      <c r="H110" s="307"/>
      <c r="I110" s="306"/>
      <c r="J110" s="308"/>
      <c r="K110" s="304"/>
      <c r="L110" s="305"/>
      <c r="M110" s="305"/>
      <c r="N110" s="306"/>
      <c r="O110" s="306"/>
      <c r="P110" s="307"/>
      <c r="Q110" s="306"/>
      <c r="R110" s="328"/>
    </row>
    <row r="111" spans="1:18">
      <c r="A111" s="309"/>
      <c r="B111" s="431"/>
      <c r="C111" s="310"/>
      <c r="D111" s="311"/>
      <c r="E111" s="312"/>
      <c r="F111" s="312"/>
      <c r="G111" s="312"/>
      <c r="H111" s="313"/>
      <c r="I111" s="312"/>
      <c r="J111" s="302"/>
      <c r="K111" s="310"/>
      <c r="L111" s="311"/>
      <c r="M111" s="311"/>
      <c r="N111" s="312"/>
      <c r="O111" s="312"/>
      <c r="P111" s="313"/>
      <c r="Q111" s="312"/>
      <c r="R111" s="327"/>
    </row>
    <row r="112" spans="1:18">
      <c r="A112" s="303"/>
      <c r="B112" s="430"/>
      <c r="C112" s="304"/>
      <c r="D112" s="305"/>
      <c r="E112" s="306"/>
      <c r="F112" s="306"/>
      <c r="G112" s="306"/>
      <c r="H112" s="307"/>
      <c r="I112" s="306"/>
      <c r="J112" s="308"/>
      <c r="K112" s="304"/>
      <c r="L112" s="305"/>
      <c r="M112" s="305"/>
      <c r="N112" s="306"/>
      <c r="O112" s="306"/>
      <c r="P112" s="307"/>
      <c r="Q112" s="306"/>
      <c r="R112" s="328"/>
    </row>
    <row r="113" spans="1:18">
      <c r="A113" s="309"/>
      <c r="B113" s="431"/>
      <c r="C113" s="310"/>
      <c r="D113" s="311"/>
      <c r="E113" s="312"/>
      <c r="F113" s="312"/>
      <c r="G113" s="312"/>
      <c r="H113" s="313"/>
      <c r="I113" s="312"/>
      <c r="J113" s="302"/>
      <c r="K113" s="310"/>
      <c r="L113" s="311"/>
      <c r="M113" s="311"/>
      <c r="N113" s="312"/>
      <c r="O113" s="312"/>
      <c r="P113" s="313"/>
      <c r="Q113" s="312"/>
      <c r="R113" s="327"/>
    </row>
    <row r="114" spans="1:18">
      <c r="A114" s="303"/>
      <c r="B114" s="430"/>
      <c r="C114" s="304"/>
      <c r="D114" s="305"/>
      <c r="E114" s="306"/>
      <c r="F114" s="306"/>
      <c r="G114" s="306"/>
      <c r="H114" s="307"/>
      <c r="I114" s="306"/>
      <c r="J114" s="308"/>
      <c r="K114" s="304"/>
      <c r="L114" s="305"/>
      <c r="M114" s="305"/>
      <c r="N114" s="306"/>
      <c r="O114" s="306"/>
      <c r="P114" s="307"/>
      <c r="Q114" s="306"/>
      <c r="R114" s="328"/>
    </row>
    <row r="115" spans="1:18">
      <c r="A115" s="309"/>
      <c r="B115" s="431"/>
      <c r="C115" s="310"/>
      <c r="D115" s="311"/>
      <c r="E115" s="312"/>
      <c r="F115" s="312"/>
      <c r="G115" s="312"/>
      <c r="H115" s="313"/>
      <c r="I115" s="312"/>
      <c r="J115" s="302"/>
      <c r="K115" s="310"/>
      <c r="L115" s="311"/>
      <c r="M115" s="311"/>
      <c r="N115" s="312"/>
      <c r="O115" s="312"/>
      <c r="P115" s="313"/>
      <c r="Q115" s="312"/>
      <c r="R115" s="327"/>
    </row>
    <row r="116" spans="1:18">
      <c r="A116" s="303"/>
      <c r="B116" s="430"/>
      <c r="C116" s="304"/>
      <c r="D116" s="305"/>
      <c r="E116" s="306"/>
      <c r="F116" s="306"/>
      <c r="G116" s="306"/>
      <c r="H116" s="307"/>
      <c r="I116" s="306"/>
      <c r="J116" s="308"/>
      <c r="K116" s="304"/>
      <c r="L116" s="305"/>
      <c r="M116" s="305"/>
      <c r="N116" s="306"/>
      <c r="O116" s="306"/>
      <c r="P116" s="307"/>
      <c r="Q116" s="306"/>
      <c r="R116" s="328"/>
    </row>
    <row r="117" spans="1:18">
      <c r="A117" s="309"/>
      <c r="B117" s="431"/>
      <c r="C117" s="310"/>
      <c r="D117" s="311"/>
      <c r="E117" s="312"/>
      <c r="F117" s="312"/>
      <c r="G117" s="312"/>
      <c r="H117" s="313"/>
      <c r="I117" s="312"/>
      <c r="J117" s="302"/>
      <c r="K117" s="310"/>
      <c r="L117" s="311"/>
      <c r="M117" s="311"/>
      <c r="N117" s="312"/>
      <c r="O117" s="312"/>
      <c r="P117" s="313"/>
      <c r="Q117" s="312"/>
      <c r="R117" s="327"/>
    </row>
    <row r="118" spans="1:18">
      <c r="A118" s="303"/>
      <c r="B118" s="430"/>
      <c r="C118" s="304"/>
      <c r="D118" s="305"/>
      <c r="E118" s="306"/>
      <c r="F118" s="306"/>
      <c r="G118" s="306"/>
      <c r="H118" s="307"/>
      <c r="I118" s="306"/>
      <c r="J118" s="308"/>
      <c r="K118" s="304"/>
      <c r="L118" s="305"/>
      <c r="M118" s="305"/>
      <c r="N118" s="306"/>
      <c r="O118" s="306"/>
      <c r="P118" s="307"/>
      <c r="Q118" s="306"/>
      <c r="R118" s="328"/>
    </row>
    <row r="119" spans="1:18">
      <c r="A119" s="309"/>
      <c r="B119" s="431"/>
      <c r="C119" s="310"/>
      <c r="D119" s="311"/>
      <c r="E119" s="312"/>
      <c r="F119" s="312"/>
      <c r="G119" s="312"/>
      <c r="H119" s="313"/>
      <c r="I119" s="312"/>
      <c r="J119" s="302"/>
      <c r="K119" s="310"/>
      <c r="L119" s="311"/>
      <c r="M119" s="311"/>
      <c r="N119" s="312"/>
      <c r="O119" s="312"/>
      <c r="P119" s="313"/>
      <c r="Q119" s="312"/>
      <c r="R119" s="327"/>
    </row>
    <row r="120" spans="1:18">
      <c r="A120" s="303"/>
      <c r="B120" s="430"/>
      <c r="C120" s="304"/>
      <c r="D120" s="305"/>
      <c r="E120" s="306"/>
      <c r="F120" s="306"/>
      <c r="G120" s="306"/>
      <c r="H120" s="307"/>
      <c r="I120" s="306"/>
      <c r="J120" s="308"/>
      <c r="K120" s="304"/>
      <c r="L120" s="305"/>
      <c r="M120" s="305"/>
      <c r="N120" s="306"/>
      <c r="O120" s="306"/>
      <c r="P120" s="307"/>
      <c r="Q120" s="306"/>
      <c r="R120" s="328"/>
    </row>
    <row r="121" spans="1:18">
      <c r="A121" s="309"/>
      <c r="B121" s="431"/>
      <c r="C121" s="310"/>
      <c r="D121" s="311"/>
      <c r="E121" s="312"/>
      <c r="F121" s="312"/>
      <c r="G121" s="312"/>
      <c r="H121" s="313"/>
      <c r="I121" s="312"/>
      <c r="J121" s="302"/>
      <c r="K121" s="310"/>
      <c r="L121" s="311"/>
      <c r="M121" s="311"/>
      <c r="N121" s="312"/>
      <c r="O121" s="312"/>
      <c r="P121" s="313"/>
      <c r="Q121" s="312"/>
      <c r="R121" s="327"/>
    </row>
    <row r="122" spans="1:18">
      <c r="A122" s="303"/>
      <c r="B122" s="430"/>
      <c r="C122" s="304"/>
      <c r="D122" s="305"/>
      <c r="E122" s="306"/>
      <c r="F122" s="306"/>
      <c r="G122" s="306"/>
      <c r="H122" s="307"/>
      <c r="I122" s="306"/>
      <c r="J122" s="308"/>
      <c r="K122" s="304"/>
      <c r="L122" s="305"/>
      <c r="M122" s="305"/>
      <c r="N122" s="306"/>
      <c r="O122" s="306"/>
      <c r="P122" s="307"/>
      <c r="Q122" s="306"/>
      <c r="R122" s="328"/>
    </row>
    <row r="123" spans="1:18">
      <c r="A123" s="309"/>
      <c r="B123" s="431"/>
      <c r="C123" s="310"/>
      <c r="D123" s="311"/>
      <c r="E123" s="312"/>
      <c r="F123" s="312"/>
      <c r="G123" s="312"/>
      <c r="H123" s="313"/>
      <c r="I123" s="312"/>
      <c r="J123" s="302"/>
      <c r="K123" s="310"/>
      <c r="L123" s="311"/>
      <c r="M123" s="311"/>
      <c r="N123" s="312"/>
      <c r="O123" s="312"/>
      <c r="P123" s="313"/>
      <c r="Q123" s="312"/>
      <c r="R123" s="327"/>
    </row>
    <row r="124" spans="1:18">
      <c r="A124" s="303"/>
      <c r="B124" s="430"/>
      <c r="C124" s="304"/>
      <c r="D124" s="305"/>
      <c r="E124" s="306"/>
      <c r="F124" s="306"/>
      <c r="G124" s="306"/>
      <c r="H124" s="307"/>
      <c r="I124" s="306"/>
      <c r="J124" s="308"/>
      <c r="K124" s="304"/>
      <c r="L124" s="305"/>
      <c r="M124" s="305"/>
      <c r="N124" s="306"/>
      <c r="O124" s="306"/>
      <c r="P124" s="307"/>
      <c r="Q124" s="306"/>
      <c r="R124" s="328"/>
    </row>
    <row r="125" spans="1:18">
      <c r="A125" s="309"/>
      <c r="B125" s="431"/>
      <c r="C125" s="310"/>
      <c r="D125" s="311"/>
      <c r="E125" s="312"/>
      <c r="F125" s="312"/>
      <c r="G125" s="312"/>
      <c r="H125" s="313"/>
      <c r="I125" s="312"/>
      <c r="J125" s="302"/>
      <c r="K125" s="310"/>
      <c r="L125" s="311"/>
      <c r="M125" s="311"/>
      <c r="N125" s="312"/>
      <c r="O125" s="312"/>
      <c r="P125" s="313"/>
      <c r="Q125" s="312"/>
      <c r="R125" s="327"/>
    </row>
    <row r="126" spans="1:18">
      <c r="A126" s="303"/>
      <c r="B126" s="430"/>
      <c r="C126" s="304"/>
      <c r="D126" s="305"/>
      <c r="E126" s="306"/>
      <c r="F126" s="306"/>
      <c r="G126" s="306"/>
      <c r="H126" s="307"/>
      <c r="I126" s="306"/>
      <c r="J126" s="308"/>
      <c r="K126" s="304"/>
      <c r="L126" s="305"/>
      <c r="M126" s="305"/>
      <c r="N126" s="306"/>
      <c r="O126" s="306"/>
      <c r="P126" s="307"/>
      <c r="Q126" s="306"/>
      <c r="R126" s="328"/>
    </row>
    <row r="127" spans="1:18">
      <c r="A127" s="309"/>
      <c r="B127" s="431"/>
      <c r="C127" s="310"/>
      <c r="D127" s="311"/>
      <c r="E127" s="312"/>
      <c r="F127" s="312"/>
      <c r="G127" s="312"/>
      <c r="H127" s="313"/>
      <c r="I127" s="312"/>
      <c r="J127" s="302"/>
      <c r="K127" s="310"/>
      <c r="L127" s="311"/>
      <c r="M127" s="311"/>
      <c r="N127" s="312"/>
      <c r="O127" s="312"/>
      <c r="P127" s="313"/>
      <c r="Q127" s="312"/>
      <c r="R127" s="327"/>
    </row>
    <row r="128" spans="1:18">
      <c r="A128" s="303"/>
      <c r="B128" s="430"/>
      <c r="C128" s="304"/>
      <c r="D128" s="305"/>
      <c r="E128" s="306"/>
      <c r="F128" s="306"/>
      <c r="G128" s="306"/>
      <c r="H128" s="307"/>
      <c r="I128" s="306"/>
      <c r="J128" s="308"/>
      <c r="K128" s="304"/>
      <c r="L128" s="305"/>
      <c r="M128" s="305"/>
      <c r="N128" s="306"/>
      <c r="O128" s="306"/>
      <c r="P128" s="307"/>
      <c r="Q128" s="306"/>
      <c r="R128" s="328"/>
    </row>
    <row r="129" spans="1:18">
      <c r="A129" s="309"/>
      <c r="B129" s="431"/>
      <c r="C129" s="310"/>
      <c r="D129" s="311"/>
      <c r="E129" s="312"/>
      <c r="F129" s="312"/>
      <c r="G129" s="312"/>
      <c r="H129" s="313"/>
      <c r="I129" s="312"/>
      <c r="J129" s="302"/>
      <c r="K129" s="310"/>
      <c r="L129" s="311"/>
      <c r="M129" s="311"/>
      <c r="N129" s="312"/>
      <c r="O129" s="312"/>
      <c r="P129" s="313"/>
      <c r="Q129" s="312"/>
      <c r="R129" s="327"/>
    </row>
    <row r="130" spans="1:18">
      <c r="A130" s="303"/>
      <c r="B130" s="430"/>
      <c r="C130" s="304"/>
      <c r="D130" s="305"/>
      <c r="E130" s="306"/>
      <c r="F130" s="306"/>
      <c r="G130" s="306"/>
      <c r="H130" s="307"/>
      <c r="I130" s="306"/>
      <c r="J130" s="308"/>
      <c r="K130" s="304"/>
      <c r="L130" s="305"/>
      <c r="M130" s="305"/>
      <c r="N130" s="306"/>
      <c r="O130" s="306"/>
      <c r="P130" s="307"/>
      <c r="Q130" s="306"/>
      <c r="R130" s="328"/>
    </row>
    <row r="131" spans="1:18">
      <c r="A131" s="309"/>
      <c r="B131" s="431"/>
      <c r="C131" s="310"/>
      <c r="D131" s="311"/>
      <c r="E131" s="312"/>
      <c r="F131" s="312"/>
      <c r="G131" s="312"/>
      <c r="H131" s="313"/>
      <c r="I131" s="312"/>
      <c r="J131" s="302"/>
      <c r="K131" s="310"/>
      <c r="L131" s="311"/>
      <c r="M131" s="311"/>
      <c r="N131" s="312"/>
      <c r="O131" s="312"/>
      <c r="P131" s="313"/>
      <c r="Q131" s="312"/>
      <c r="R131" s="327"/>
    </row>
    <row r="132" spans="1:18">
      <c r="A132" s="303"/>
      <c r="B132" s="430"/>
      <c r="C132" s="304"/>
      <c r="D132" s="305"/>
      <c r="E132" s="306"/>
      <c r="F132" s="306"/>
      <c r="G132" s="306"/>
      <c r="H132" s="307"/>
      <c r="I132" s="306"/>
      <c r="J132" s="308"/>
      <c r="K132" s="304"/>
      <c r="L132" s="305"/>
      <c r="M132" s="305"/>
      <c r="N132" s="306"/>
      <c r="O132" s="306"/>
      <c r="P132" s="307"/>
      <c r="Q132" s="306"/>
      <c r="R132" s="328"/>
    </row>
    <row r="133" spans="1:18">
      <c r="A133" s="309"/>
      <c r="B133" s="431"/>
      <c r="C133" s="310"/>
      <c r="D133" s="311"/>
      <c r="E133" s="312"/>
      <c r="F133" s="312"/>
      <c r="G133" s="312"/>
      <c r="H133" s="313"/>
      <c r="I133" s="312"/>
      <c r="J133" s="302"/>
      <c r="K133" s="310"/>
      <c r="L133" s="311"/>
      <c r="M133" s="311"/>
      <c r="N133" s="312"/>
      <c r="O133" s="312"/>
      <c r="P133" s="313"/>
      <c r="Q133" s="312"/>
      <c r="R133" s="327"/>
    </row>
    <row r="134" spans="1:18">
      <c r="A134" s="303"/>
      <c r="B134" s="430"/>
      <c r="C134" s="304"/>
      <c r="D134" s="305"/>
      <c r="E134" s="306"/>
      <c r="F134" s="306"/>
      <c r="G134" s="306"/>
      <c r="H134" s="307"/>
      <c r="I134" s="306"/>
      <c r="J134" s="308"/>
      <c r="K134" s="304"/>
      <c r="L134" s="305"/>
      <c r="M134" s="305"/>
      <c r="N134" s="306"/>
      <c r="O134" s="306"/>
      <c r="P134" s="307"/>
      <c r="Q134" s="306"/>
      <c r="R134" s="328"/>
    </row>
    <row r="135" spans="1:18">
      <c r="A135" s="309"/>
      <c r="B135" s="431"/>
      <c r="C135" s="310"/>
      <c r="D135" s="311"/>
      <c r="E135" s="312"/>
      <c r="F135" s="312"/>
      <c r="G135" s="312"/>
      <c r="H135" s="313"/>
      <c r="I135" s="312"/>
      <c r="J135" s="302"/>
      <c r="K135" s="310"/>
      <c r="L135" s="311"/>
      <c r="M135" s="311"/>
      <c r="N135" s="312"/>
      <c r="O135" s="312"/>
      <c r="P135" s="313"/>
      <c r="Q135" s="312"/>
      <c r="R135" s="327"/>
    </row>
    <row r="136" spans="1:18">
      <c r="A136" s="303"/>
      <c r="B136" s="430"/>
      <c r="C136" s="304"/>
      <c r="D136" s="305"/>
      <c r="E136" s="306"/>
      <c r="F136" s="306"/>
      <c r="G136" s="306"/>
      <c r="H136" s="307"/>
      <c r="I136" s="306"/>
      <c r="J136" s="308"/>
      <c r="K136" s="304"/>
      <c r="L136" s="305"/>
      <c r="M136" s="305"/>
      <c r="N136" s="306"/>
      <c r="O136" s="306"/>
      <c r="P136" s="307"/>
      <c r="Q136" s="306"/>
      <c r="R136" s="328"/>
    </row>
    <row r="137" spans="1:18">
      <c r="A137" s="309"/>
      <c r="B137" s="431"/>
      <c r="C137" s="310"/>
      <c r="D137" s="311"/>
      <c r="E137" s="312"/>
      <c r="F137" s="312"/>
      <c r="G137" s="312"/>
      <c r="H137" s="313"/>
      <c r="I137" s="312"/>
      <c r="J137" s="302"/>
      <c r="K137" s="310"/>
      <c r="L137" s="311"/>
      <c r="M137" s="311"/>
      <c r="N137" s="312"/>
      <c r="O137" s="312"/>
      <c r="P137" s="313"/>
      <c r="Q137" s="312"/>
      <c r="R137" s="327"/>
    </row>
    <row r="138" spans="1:18">
      <c r="A138" s="303"/>
      <c r="B138" s="430"/>
      <c r="C138" s="304"/>
      <c r="D138" s="305"/>
      <c r="E138" s="306"/>
      <c r="F138" s="306"/>
      <c r="G138" s="306"/>
      <c r="H138" s="307"/>
      <c r="I138" s="306"/>
      <c r="J138" s="308"/>
      <c r="K138" s="304"/>
      <c r="L138" s="305"/>
      <c r="M138" s="305"/>
      <c r="N138" s="306"/>
      <c r="O138" s="306"/>
      <c r="P138" s="307"/>
      <c r="Q138" s="306"/>
      <c r="R138" s="328"/>
    </row>
    <row r="139" spans="1:18">
      <c r="A139" s="309"/>
      <c r="B139" s="431"/>
      <c r="C139" s="310"/>
      <c r="D139" s="311"/>
      <c r="E139" s="312"/>
      <c r="F139" s="312"/>
      <c r="G139" s="312"/>
      <c r="H139" s="313"/>
      <c r="I139" s="312"/>
      <c r="J139" s="302"/>
      <c r="K139" s="310"/>
      <c r="L139" s="311"/>
      <c r="M139" s="311"/>
      <c r="N139" s="312"/>
      <c r="O139" s="312"/>
      <c r="P139" s="313"/>
      <c r="Q139" s="312"/>
      <c r="R139" s="327"/>
    </row>
    <row r="140" spans="1:18">
      <c r="A140" s="303"/>
      <c r="B140" s="430"/>
      <c r="C140" s="304"/>
      <c r="D140" s="305"/>
      <c r="E140" s="306"/>
      <c r="F140" s="306"/>
      <c r="G140" s="306"/>
      <c r="H140" s="307"/>
      <c r="I140" s="306"/>
      <c r="J140" s="308"/>
      <c r="K140" s="304"/>
      <c r="L140" s="305"/>
      <c r="M140" s="305"/>
      <c r="N140" s="306"/>
      <c r="O140" s="306"/>
      <c r="P140" s="307"/>
      <c r="Q140" s="306"/>
      <c r="R140" s="328"/>
    </row>
    <row r="141" spans="1:18">
      <c r="A141" s="309"/>
      <c r="B141" s="431"/>
      <c r="C141" s="310"/>
      <c r="D141" s="311"/>
      <c r="E141" s="312"/>
      <c r="F141" s="312"/>
      <c r="G141" s="312"/>
      <c r="H141" s="313"/>
      <c r="I141" s="312"/>
      <c r="J141" s="302"/>
      <c r="K141" s="310"/>
      <c r="L141" s="311"/>
      <c r="M141" s="311"/>
      <c r="N141" s="312"/>
      <c r="O141" s="312"/>
      <c r="P141" s="313"/>
      <c r="Q141" s="312"/>
      <c r="R141" s="327"/>
    </row>
    <row r="142" spans="1:18">
      <c r="A142" s="303"/>
      <c r="B142" s="430"/>
      <c r="C142" s="304"/>
      <c r="D142" s="305"/>
      <c r="E142" s="306"/>
      <c r="F142" s="306"/>
      <c r="G142" s="306"/>
      <c r="H142" s="307"/>
      <c r="I142" s="306"/>
      <c r="J142" s="308"/>
      <c r="K142" s="304"/>
      <c r="L142" s="305"/>
      <c r="M142" s="305"/>
      <c r="N142" s="306"/>
      <c r="O142" s="306"/>
      <c r="P142" s="307"/>
      <c r="Q142" s="306"/>
      <c r="R142" s="328"/>
    </row>
    <row r="143" spans="1:18">
      <c r="A143" s="309"/>
      <c r="B143" s="431"/>
      <c r="C143" s="310"/>
      <c r="D143" s="311"/>
      <c r="E143" s="312"/>
      <c r="F143" s="312"/>
      <c r="G143" s="312"/>
      <c r="H143" s="313"/>
      <c r="I143" s="312"/>
      <c r="J143" s="302"/>
      <c r="K143" s="310"/>
      <c r="L143" s="311"/>
      <c r="M143" s="311"/>
      <c r="N143" s="312"/>
      <c r="O143" s="312"/>
      <c r="P143" s="313"/>
      <c r="Q143" s="312"/>
      <c r="R143" s="327"/>
    </row>
    <row r="144" spans="1:18">
      <c r="A144" s="303"/>
      <c r="B144" s="430"/>
      <c r="C144" s="304"/>
      <c r="D144" s="305"/>
      <c r="E144" s="306"/>
      <c r="F144" s="306"/>
      <c r="G144" s="306"/>
      <c r="H144" s="307"/>
      <c r="I144" s="306"/>
      <c r="J144" s="308"/>
      <c r="K144" s="304"/>
      <c r="L144" s="305"/>
      <c r="M144" s="305"/>
      <c r="N144" s="306"/>
      <c r="O144" s="306"/>
      <c r="P144" s="307"/>
      <c r="Q144" s="306"/>
      <c r="R144" s="328"/>
    </row>
    <row r="145" spans="1:18">
      <c r="A145" s="309"/>
      <c r="B145" s="431"/>
      <c r="C145" s="310"/>
      <c r="D145" s="311"/>
      <c r="E145" s="312"/>
      <c r="F145" s="312"/>
      <c r="G145" s="312"/>
      <c r="H145" s="313"/>
      <c r="I145" s="312"/>
      <c r="J145" s="302"/>
      <c r="K145" s="310"/>
      <c r="L145" s="311"/>
      <c r="M145" s="311"/>
      <c r="N145" s="312"/>
      <c r="O145" s="312"/>
      <c r="P145" s="313"/>
      <c r="Q145" s="312"/>
      <c r="R145" s="327"/>
    </row>
    <row r="146" spans="1:18">
      <c r="A146" s="303"/>
      <c r="B146" s="430"/>
      <c r="C146" s="304"/>
      <c r="D146" s="305"/>
      <c r="E146" s="306"/>
      <c r="F146" s="306"/>
      <c r="G146" s="306"/>
      <c r="H146" s="307"/>
      <c r="I146" s="306"/>
      <c r="J146" s="308"/>
      <c r="K146" s="304"/>
      <c r="L146" s="305"/>
      <c r="M146" s="305"/>
      <c r="N146" s="306"/>
      <c r="O146" s="306"/>
      <c r="P146" s="307"/>
      <c r="Q146" s="306"/>
      <c r="R146" s="328"/>
    </row>
    <row r="147" spans="1:18">
      <c r="A147" s="309"/>
      <c r="B147" s="431"/>
      <c r="C147" s="310"/>
      <c r="D147" s="311"/>
      <c r="E147" s="312"/>
      <c r="F147" s="312"/>
      <c r="G147" s="312"/>
      <c r="H147" s="313"/>
      <c r="I147" s="312"/>
      <c r="J147" s="302"/>
      <c r="K147" s="310"/>
      <c r="L147" s="311"/>
      <c r="M147" s="311"/>
      <c r="N147" s="312"/>
      <c r="O147" s="312"/>
      <c r="P147" s="313"/>
      <c r="Q147" s="312"/>
      <c r="R147" s="327"/>
    </row>
    <row r="148" spans="1:18">
      <c r="A148" s="303"/>
      <c r="B148" s="430"/>
      <c r="C148" s="304"/>
      <c r="D148" s="305"/>
      <c r="E148" s="306"/>
      <c r="F148" s="306"/>
      <c r="G148" s="306"/>
      <c r="H148" s="307"/>
      <c r="I148" s="306"/>
      <c r="J148" s="308"/>
      <c r="K148" s="304"/>
      <c r="L148" s="305"/>
      <c r="M148" s="305"/>
      <c r="N148" s="306"/>
      <c r="O148" s="306"/>
      <c r="P148" s="307"/>
      <c r="Q148" s="306"/>
      <c r="R148" s="328"/>
    </row>
    <row r="149" spans="1:18">
      <c r="A149" s="309"/>
      <c r="B149" s="431"/>
      <c r="C149" s="310"/>
      <c r="D149" s="311"/>
      <c r="E149" s="312"/>
      <c r="F149" s="312"/>
      <c r="G149" s="312"/>
      <c r="H149" s="313"/>
      <c r="I149" s="312"/>
      <c r="J149" s="302"/>
      <c r="K149" s="310"/>
      <c r="L149" s="311"/>
      <c r="M149" s="311"/>
      <c r="N149" s="312"/>
      <c r="O149" s="312"/>
      <c r="P149" s="313"/>
      <c r="Q149" s="312"/>
      <c r="R149" s="327"/>
    </row>
    <row r="150" spans="1:18">
      <c r="A150" s="303"/>
      <c r="B150" s="430"/>
      <c r="C150" s="304"/>
      <c r="D150" s="305"/>
      <c r="E150" s="306"/>
      <c r="F150" s="306"/>
      <c r="G150" s="306"/>
      <c r="H150" s="307"/>
      <c r="I150" s="306"/>
      <c r="J150" s="308"/>
      <c r="K150" s="304"/>
      <c r="L150" s="305"/>
      <c r="M150" s="305"/>
      <c r="N150" s="306"/>
      <c r="O150" s="306"/>
      <c r="P150" s="307"/>
      <c r="Q150" s="306"/>
      <c r="R150" s="328"/>
    </row>
    <row r="151" spans="1:18">
      <c r="A151" s="309"/>
      <c r="B151" s="431"/>
      <c r="C151" s="310"/>
      <c r="D151" s="311"/>
      <c r="E151" s="312"/>
      <c r="F151" s="312"/>
      <c r="G151" s="312"/>
      <c r="H151" s="313"/>
      <c r="I151" s="312"/>
      <c r="J151" s="302"/>
      <c r="K151" s="310"/>
      <c r="L151" s="311"/>
      <c r="M151" s="311"/>
      <c r="N151" s="312"/>
      <c r="O151" s="312"/>
      <c r="P151" s="313"/>
      <c r="Q151" s="312"/>
      <c r="R151" s="327"/>
    </row>
    <row r="152" spans="1:18">
      <c r="A152" s="303"/>
      <c r="B152" s="430"/>
      <c r="C152" s="304"/>
      <c r="D152" s="305"/>
      <c r="E152" s="306"/>
      <c r="F152" s="306"/>
      <c r="G152" s="306"/>
      <c r="H152" s="307"/>
      <c r="I152" s="306"/>
      <c r="J152" s="308"/>
      <c r="K152" s="304"/>
      <c r="L152" s="305"/>
      <c r="M152" s="305"/>
      <c r="N152" s="306"/>
      <c r="O152" s="306"/>
      <c r="P152" s="307"/>
      <c r="Q152" s="306"/>
      <c r="R152" s="328"/>
    </row>
    <row r="153" spans="1:18">
      <c r="A153" s="309"/>
      <c r="B153" s="431"/>
      <c r="C153" s="310"/>
      <c r="D153" s="311"/>
      <c r="E153" s="312"/>
      <c r="F153" s="312"/>
      <c r="G153" s="312"/>
      <c r="H153" s="313"/>
      <c r="I153" s="312"/>
      <c r="J153" s="302"/>
      <c r="K153" s="310"/>
      <c r="L153" s="311"/>
      <c r="M153" s="311"/>
      <c r="N153" s="312"/>
      <c r="O153" s="312"/>
      <c r="P153" s="313"/>
      <c r="Q153" s="312"/>
      <c r="R153" s="327"/>
    </row>
    <row r="154" spans="1:18">
      <c r="A154" s="303"/>
      <c r="B154" s="430"/>
      <c r="C154" s="304"/>
      <c r="D154" s="305"/>
      <c r="E154" s="306"/>
      <c r="F154" s="306"/>
      <c r="G154" s="306"/>
      <c r="H154" s="307"/>
      <c r="I154" s="306"/>
      <c r="J154" s="308"/>
      <c r="K154" s="304"/>
      <c r="L154" s="305"/>
      <c r="M154" s="305"/>
      <c r="N154" s="306"/>
      <c r="O154" s="306"/>
      <c r="P154" s="307"/>
      <c r="Q154" s="306"/>
      <c r="R154" s="328"/>
    </row>
    <row r="155" spans="1:18">
      <c r="A155" s="309"/>
      <c r="B155" s="431"/>
      <c r="C155" s="310"/>
      <c r="D155" s="311"/>
      <c r="E155" s="312"/>
      <c r="F155" s="312"/>
      <c r="G155" s="312"/>
      <c r="H155" s="313"/>
      <c r="I155" s="312"/>
      <c r="J155" s="302"/>
      <c r="K155" s="310"/>
      <c r="L155" s="311"/>
      <c r="M155" s="311"/>
      <c r="N155" s="312"/>
      <c r="O155" s="312"/>
      <c r="P155" s="313"/>
      <c r="Q155" s="312"/>
      <c r="R155" s="327"/>
    </row>
    <row r="156" spans="1:18">
      <c r="A156" s="303"/>
      <c r="B156" s="430"/>
      <c r="C156" s="304"/>
      <c r="D156" s="305"/>
      <c r="E156" s="306"/>
      <c r="F156" s="306"/>
      <c r="G156" s="306"/>
      <c r="H156" s="307"/>
      <c r="I156" s="306"/>
      <c r="J156" s="308"/>
      <c r="K156" s="304"/>
      <c r="L156" s="305"/>
      <c r="M156" s="305"/>
      <c r="N156" s="306"/>
      <c r="O156" s="306"/>
      <c r="P156" s="307"/>
      <c r="Q156" s="306"/>
      <c r="R156" s="328"/>
    </row>
    <row r="157" spans="1:18">
      <c r="A157" s="309"/>
      <c r="B157" s="431"/>
      <c r="C157" s="310"/>
      <c r="D157" s="311"/>
      <c r="E157" s="312"/>
      <c r="F157" s="312"/>
      <c r="G157" s="312"/>
      <c r="H157" s="313"/>
      <c r="I157" s="312"/>
      <c r="J157" s="302"/>
      <c r="K157" s="310"/>
      <c r="L157" s="311"/>
      <c r="M157" s="311"/>
      <c r="N157" s="312"/>
      <c r="O157" s="312"/>
      <c r="P157" s="313"/>
      <c r="Q157" s="312"/>
      <c r="R157" s="327"/>
    </row>
    <row r="158" spans="1:18">
      <c r="A158" s="303"/>
      <c r="B158" s="430"/>
      <c r="C158" s="304"/>
      <c r="D158" s="305"/>
      <c r="E158" s="306"/>
      <c r="F158" s="306"/>
      <c r="G158" s="306"/>
      <c r="H158" s="307"/>
      <c r="I158" s="306"/>
      <c r="J158" s="308"/>
      <c r="K158" s="304"/>
      <c r="L158" s="305"/>
      <c r="M158" s="305"/>
      <c r="N158" s="306"/>
      <c r="O158" s="306"/>
      <c r="P158" s="307"/>
      <c r="Q158" s="306"/>
      <c r="R158" s="328"/>
    </row>
    <row r="159" spans="1:18">
      <c r="A159" s="309"/>
      <c r="B159" s="431"/>
      <c r="C159" s="310"/>
      <c r="D159" s="311"/>
      <c r="E159" s="312"/>
      <c r="F159" s="312"/>
      <c r="G159" s="312"/>
      <c r="H159" s="313"/>
      <c r="I159" s="312"/>
      <c r="J159" s="302"/>
      <c r="K159" s="310"/>
      <c r="L159" s="311"/>
      <c r="M159" s="311"/>
      <c r="N159" s="312"/>
      <c r="O159" s="312"/>
      <c r="P159" s="313"/>
      <c r="Q159" s="312"/>
      <c r="R159" s="327"/>
    </row>
    <row r="160" spans="1:18">
      <c r="A160" s="303"/>
      <c r="B160" s="430"/>
      <c r="C160" s="304"/>
      <c r="D160" s="305"/>
      <c r="E160" s="306"/>
      <c r="F160" s="306"/>
      <c r="G160" s="306"/>
      <c r="H160" s="307"/>
      <c r="I160" s="306"/>
      <c r="J160" s="308"/>
      <c r="K160" s="304"/>
      <c r="L160" s="305"/>
      <c r="M160" s="305"/>
      <c r="N160" s="306"/>
      <c r="O160" s="306"/>
      <c r="P160" s="307"/>
      <c r="Q160" s="306"/>
      <c r="R160" s="328"/>
    </row>
    <row r="161" spans="1:18">
      <c r="A161" s="309"/>
      <c r="B161" s="431"/>
      <c r="C161" s="310"/>
      <c r="D161" s="311"/>
      <c r="E161" s="312"/>
      <c r="F161" s="312"/>
      <c r="G161" s="312"/>
      <c r="H161" s="313"/>
      <c r="I161" s="312"/>
      <c r="J161" s="302"/>
      <c r="K161" s="310"/>
      <c r="L161" s="311"/>
      <c r="M161" s="311"/>
      <c r="N161" s="312"/>
      <c r="O161" s="312"/>
      <c r="P161" s="313"/>
      <c r="Q161" s="312"/>
      <c r="R161" s="327"/>
    </row>
    <row r="162" spans="1:18">
      <c r="A162" s="303"/>
      <c r="B162" s="430"/>
      <c r="C162" s="304"/>
      <c r="D162" s="305"/>
      <c r="E162" s="306"/>
      <c r="F162" s="306"/>
      <c r="G162" s="306"/>
      <c r="H162" s="307"/>
      <c r="I162" s="306"/>
      <c r="J162" s="308"/>
      <c r="K162" s="304"/>
      <c r="L162" s="305"/>
      <c r="M162" s="305"/>
      <c r="N162" s="306"/>
      <c r="O162" s="306"/>
      <c r="P162" s="307"/>
      <c r="Q162" s="306"/>
      <c r="R162" s="328"/>
    </row>
    <row r="163" spans="1:18">
      <c r="A163" s="309"/>
      <c r="B163" s="431"/>
      <c r="C163" s="310"/>
      <c r="D163" s="311"/>
      <c r="E163" s="312"/>
      <c r="F163" s="312"/>
      <c r="G163" s="312"/>
      <c r="H163" s="313"/>
      <c r="I163" s="312"/>
      <c r="J163" s="302"/>
      <c r="K163" s="310"/>
      <c r="L163" s="311"/>
      <c r="M163" s="311"/>
      <c r="N163" s="312"/>
      <c r="O163" s="312"/>
      <c r="P163" s="313"/>
      <c r="Q163" s="312"/>
      <c r="R163" s="327"/>
    </row>
    <row r="164" spans="1:18">
      <c r="A164" s="303"/>
      <c r="B164" s="430"/>
      <c r="C164" s="304"/>
      <c r="D164" s="305"/>
      <c r="E164" s="306"/>
      <c r="F164" s="306"/>
      <c r="G164" s="306"/>
      <c r="H164" s="307"/>
      <c r="I164" s="306"/>
      <c r="J164" s="308"/>
      <c r="K164" s="304"/>
      <c r="L164" s="305"/>
      <c r="M164" s="305"/>
      <c r="N164" s="306"/>
      <c r="O164" s="306"/>
      <c r="P164" s="307"/>
      <c r="Q164" s="306"/>
      <c r="R164" s="328"/>
    </row>
    <row r="165" spans="1:18">
      <c r="A165" s="309"/>
      <c r="B165" s="431"/>
      <c r="C165" s="310"/>
      <c r="D165" s="311"/>
      <c r="E165" s="312"/>
      <c r="F165" s="312"/>
      <c r="G165" s="312"/>
      <c r="H165" s="313"/>
      <c r="I165" s="312"/>
      <c r="J165" s="302"/>
      <c r="K165" s="310"/>
      <c r="L165" s="311"/>
      <c r="M165" s="311"/>
      <c r="N165" s="312"/>
      <c r="O165" s="312"/>
      <c r="P165" s="313"/>
      <c r="Q165" s="312"/>
      <c r="R165" s="327"/>
    </row>
    <row r="166" spans="1:18">
      <c r="A166" s="303"/>
      <c r="B166" s="430"/>
      <c r="C166" s="304"/>
      <c r="D166" s="305"/>
      <c r="E166" s="306"/>
      <c r="F166" s="306"/>
      <c r="G166" s="306"/>
      <c r="H166" s="307"/>
      <c r="I166" s="306"/>
      <c r="J166" s="308"/>
      <c r="K166" s="304"/>
      <c r="L166" s="305"/>
      <c r="M166" s="305"/>
      <c r="N166" s="306"/>
      <c r="O166" s="306"/>
      <c r="P166" s="307"/>
      <c r="Q166" s="306"/>
      <c r="R166" s="328"/>
    </row>
    <row r="167" spans="1:18">
      <c r="A167" s="309"/>
      <c r="B167" s="431"/>
      <c r="C167" s="310"/>
      <c r="D167" s="311"/>
      <c r="E167" s="312"/>
      <c r="F167" s="312"/>
      <c r="G167" s="312"/>
      <c r="H167" s="313"/>
      <c r="I167" s="312"/>
      <c r="J167" s="302"/>
      <c r="K167" s="310"/>
      <c r="L167" s="311"/>
      <c r="M167" s="311"/>
      <c r="N167" s="312"/>
      <c r="O167" s="312"/>
      <c r="P167" s="313"/>
      <c r="Q167" s="312"/>
      <c r="R167" s="327"/>
    </row>
    <row r="168" spans="1:18">
      <c r="A168" s="303"/>
      <c r="B168" s="430"/>
      <c r="C168" s="304"/>
      <c r="D168" s="305"/>
      <c r="E168" s="306"/>
      <c r="F168" s="306"/>
      <c r="G168" s="306"/>
      <c r="H168" s="307"/>
      <c r="I168" s="306"/>
      <c r="J168" s="308"/>
      <c r="K168" s="304"/>
      <c r="L168" s="305"/>
      <c r="M168" s="305"/>
      <c r="N168" s="306"/>
      <c r="O168" s="306"/>
      <c r="P168" s="307"/>
      <c r="Q168" s="306"/>
      <c r="R168" s="328"/>
    </row>
    <row r="169" spans="1:18">
      <c r="A169" s="309"/>
      <c r="B169" s="431"/>
      <c r="C169" s="310"/>
      <c r="D169" s="311"/>
      <c r="E169" s="312"/>
      <c r="F169" s="312"/>
      <c r="G169" s="312"/>
      <c r="H169" s="313"/>
      <c r="I169" s="312"/>
      <c r="J169" s="302"/>
      <c r="K169" s="310"/>
      <c r="L169" s="311"/>
      <c r="M169" s="311"/>
      <c r="N169" s="312"/>
      <c r="O169" s="312"/>
      <c r="P169" s="313"/>
      <c r="Q169" s="312"/>
      <c r="R169" s="327"/>
    </row>
    <row r="170" spans="1:18">
      <c r="A170" s="303"/>
      <c r="B170" s="430"/>
      <c r="C170" s="304"/>
      <c r="D170" s="305"/>
      <c r="E170" s="306"/>
      <c r="F170" s="306"/>
      <c r="G170" s="306"/>
      <c r="H170" s="307"/>
      <c r="I170" s="306"/>
      <c r="J170" s="308"/>
      <c r="K170" s="304"/>
      <c r="L170" s="305"/>
      <c r="M170" s="305"/>
      <c r="N170" s="306"/>
      <c r="O170" s="306"/>
      <c r="P170" s="307"/>
      <c r="Q170" s="306"/>
      <c r="R170" s="328"/>
    </row>
    <row r="171" spans="1:18">
      <c r="A171" s="309"/>
      <c r="B171" s="431"/>
      <c r="C171" s="310"/>
      <c r="D171" s="311"/>
      <c r="E171" s="312"/>
      <c r="F171" s="312"/>
      <c r="G171" s="312"/>
      <c r="H171" s="313"/>
      <c r="I171" s="312"/>
      <c r="J171" s="302"/>
      <c r="K171" s="310"/>
      <c r="L171" s="311"/>
      <c r="M171" s="311"/>
      <c r="N171" s="312"/>
      <c r="O171" s="312"/>
      <c r="P171" s="313"/>
      <c r="Q171" s="312"/>
      <c r="R171" s="327"/>
    </row>
    <row r="172" spans="1:18">
      <c r="A172" s="303"/>
      <c r="B172" s="430"/>
      <c r="C172" s="304"/>
      <c r="D172" s="305"/>
      <c r="E172" s="306"/>
      <c r="F172" s="306"/>
      <c r="G172" s="306"/>
      <c r="H172" s="307"/>
      <c r="I172" s="306"/>
      <c r="J172" s="308"/>
      <c r="K172" s="304"/>
      <c r="L172" s="305"/>
      <c r="M172" s="305"/>
      <c r="N172" s="306"/>
      <c r="O172" s="306"/>
      <c r="P172" s="307"/>
      <c r="Q172" s="306"/>
      <c r="R172" s="328"/>
    </row>
    <row r="173" spans="1:18">
      <c r="A173" s="309"/>
      <c r="B173" s="431"/>
      <c r="C173" s="310"/>
      <c r="D173" s="311"/>
      <c r="E173" s="312"/>
      <c r="F173" s="312"/>
      <c r="G173" s="312"/>
      <c r="H173" s="313"/>
      <c r="I173" s="312"/>
      <c r="J173" s="302"/>
      <c r="K173" s="310"/>
      <c r="L173" s="311"/>
      <c r="M173" s="311"/>
      <c r="N173" s="312"/>
      <c r="O173" s="312"/>
      <c r="P173" s="313"/>
      <c r="Q173" s="312"/>
      <c r="R173" s="327"/>
    </row>
    <row r="174" spans="1:18">
      <c r="A174" s="303"/>
      <c r="B174" s="430"/>
      <c r="C174" s="304"/>
      <c r="D174" s="305"/>
      <c r="E174" s="306"/>
      <c r="F174" s="306"/>
      <c r="G174" s="306"/>
      <c r="H174" s="307"/>
      <c r="I174" s="306"/>
      <c r="J174" s="308"/>
      <c r="K174" s="304"/>
      <c r="L174" s="305"/>
      <c r="M174" s="305"/>
      <c r="N174" s="306"/>
      <c r="O174" s="306"/>
      <c r="P174" s="307"/>
      <c r="Q174" s="306"/>
      <c r="R174" s="328"/>
    </row>
    <row r="175" spans="1:18">
      <c r="A175" s="309"/>
      <c r="B175" s="431"/>
      <c r="C175" s="310"/>
      <c r="D175" s="311"/>
      <c r="E175" s="312"/>
      <c r="F175" s="312"/>
      <c r="G175" s="312"/>
      <c r="H175" s="313"/>
      <c r="I175" s="312"/>
      <c r="J175" s="302"/>
      <c r="K175" s="310"/>
      <c r="L175" s="311"/>
      <c r="M175" s="311"/>
      <c r="N175" s="312"/>
      <c r="O175" s="312"/>
      <c r="P175" s="313"/>
      <c r="Q175" s="312"/>
      <c r="R175" s="327"/>
    </row>
    <row r="176" spans="1:18">
      <c r="A176" s="303"/>
      <c r="B176" s="430"/>
      <c r="C176" s="304"/>
      <c r="D176" s="305"/>
      <c r="E176" s="306"/>
      <c r="F176" s="306"/>
      <c r="G176" s="306"/>
      <c r="H176" s="307"/>
      <c r="I176" s="306"/>
      <c r="J176" s="308"/>
      <c r="K176" s="304"/>
      <c r="L176" s="305"/>
      <c r="M176" s="305"/>
      <c r="N176" s="306"/>
      <c r="O176" s="306"/>
      <c r="P176" s="307"/>
      <c r="Q176" s="306"/>
      <c r="R176" s="328"/>
    </row>
    <row r="177" spans="1:18">
      <c r="A177" s="309"/>
      <c r="B177" s="431"/>
      <c r="C177" s="310"/>
      <c r="D177" s="311"/>
      <c r="E177" s="312"/>
      <c r="F177" s="312"/>
      <c r="G177" s="312"/>
      <c r="H177" s="313"/>
      <c r="I177" s="312"/>
      <c r="J177" s="302"/>
      <c r="K177" s="310"/>
      <c r="L177" s="311"/>
      <c r="M177" s="311"/>
      <c r="N177" s="312"/>
      <c r="O177" s="312"/>
      <c r="P177" s="313"/>
      <c r="Q177" s="312"/>
      <c r="R177" s="327"/>
    </row>
    <row r="178" spans="1:18">
      <c r="A178" s="303"/>
      <c r="B178" s="430"/>
      <c r="C178" s="304"/>
      <c r="D178" s="305"/>
      <c r="E178" s="306"/>
      <c r="F178" s="306"/>
      <c r="G178" s="306"/>
      <c r="H178" s="307"/>
      <c r="I178" s="306"/>
      <c r="J178" s="308"/>
      <c r="K178" s="304"/>
      <c r="L178" s="305"/>
      <c r="M178" s="305"/>
      <c r="N178" s="306"/>
      <c r="O178" s="306"/>
      <c r="P178" s="307"/>
      <c r="Q178" s="306"/>
      <c r="R178" s="328"/>
    </row>
    <row r="179" spans="1:18">
      <c r="A179" s="309"/>
      <c r="B179" s="431"/>
      <c r="C179" s="310"/>
      <c r="D179" s="311"/>
      <c r="E179" s="312"/>
      <c r="F179" s="312"/>
      <c r="G179" s="312"/>
      <c r="H179" s="313"/>
      <c r="I179" s="312"/>
      <c r="J179" s="302"/>
      <c r="K179" s="310"/>
      <c r="L179" s="311"/>
      <c r="M179" s="311"/>
      <c r="N179" s="312"/>
      <c r="O179" s="312"/>
      <c r="P179" s="313"/>
      <c r="Q179" s="312"/>
      <c r="R179" s="327"/>
    </row>
    <row r="180" spans="1:18">
      <c r="A180" s="303"/>
      <c r="B180" s="430"/>
      <c r="C180" s="304"/>
      <c r="D180" s="305"/>
      <c r="E180" s="306"/>
      <c r="F180" s="306"/>
      <c r="G180" s="306"/>
      <c r="H180" s="307"/>
      <c r="I180" s="306"/>
      <c r="J180" s="308"/>
      <c r="K180" s="304"/>
      <c r="L180" s="305"/>
      <c r="M180" s="305"/>
      <c r="N180" s="306"/>
      <c r="O180" s="306"/>
      <c r="P180" s="307"/>
      <c r="Q180" s="306"/>
      <c r="R180" s="328"/>
    </row>
    <row r="181" spans="1:18">
      <c r="A181" s="309"/>
      <c r="B181" s="431"/>
      <c r="C181" s="310"/>
      <c r="D181" s="311"/>
      <c r="E181" s="312"/>
      <c r="F181" s="312"/>
      <c r="G181" s="312"/>
      <c r="H181" s="313"/>
      <c r="I181" s="312"/>
      <c r="J181" s="302"/>
      <c r="K181" s="310"/>
      <c r="L181" s="311"/>
      <c r="M181" s="311"/>
      <c r="N181" s="312"/>
      <c r="O181" s="312"/>
      <c r="P181" s="313"/>
      <c r="Q181" s="312"/>
      <c r="R181" s="327"/>
    </row>
    <row r="182" spans="1:18">
      <c r="A182" s="303"/>
      <c r="B182" s="430"/>
      <c r="C182" s="304"/>
      <c r="D182" s="305"/>
      <c r="E182" s="306"/>
      <c r="F182" s="306"/>
      <c r="G182" s="306"/>
      <c r="H182" s="307"/>
      <c r="I182" s="306"/>
      <c r="J182" s="308"/>
      <c r="K182" s="304"/>
      <c r="L182" s="305"/>
      <c r="M182" s="305"/>
      <c r="N182" s="306"/>
      <c r="O182" s="306"/>
      <c r="P182" s="307"/>
      <c r="Q182" s="306"/>
      <c r="R182" s="328"/>
    </row>
    <row r="183" spans="1:18">
      <c r="A183" s="309"/>
      <c r="B183" s="431"/>
      <c r="C183" s="310"/>
      <c r="D183" s="311"/>
      <c r="E183" s="312"/>
      <c r="F183" s="312"/>
      <c r="G183" s="312"/>
      <c r="H183" s="313"/>
      <c r="I183" s="312"/>
      <c r="J183" s="302"/>
      <c r="K183" s="310"/>
      <c r="L183" s="311"/>
      <c r="M183" s="311"/>
      <c r="N183" s="312"/>
      <c r="O183" s="312"/>
      <c r="P183" s="313"/>
      <c r="Q183" s="312"/>
      <c r="R183" s="327"/>
    </row>
    <row r="184" spans="1:18">
      <c r="A184" s="303"/>
      <c r="B184" s="430"/>
      <c r="C184" s="304"/>
      <c r="D184" s="305"/>
      <c r="E184" s="306"/>
      <c r="F184" s="306"/>
      <c r="G184" s="306"/>
      <c r="H184" s="307"/>
      <c r="I184" s="306"/>
      <c r="J184" s="308"/>
      <c r="K184" s="304"/>
      <c r="L184" s="305"/>
      <c r="M184" s="305"/>
      <c r="N184" s="306"/>
      <c r="O184" s="306"/>
      <c r="P184" s="307"/>
      <c r="Q184" s="306"/>
      <c r="R184" s="328"/>
    </row>
    <row r="185" spans="1:18">
      <c r="A185" s="309"/>
      <c r="B185" s="431"/>
      <c r="C185" s="310"/>
      <c r="D185" s="311"/>
      <c r="E185" s="312"/>
      <c r="F185" s="312"/>
      <c r="G185" s="312"/>
      <c r="H185" s="313"/>
      <c r="I185" s="312"/>
      <c r="J185" s="302"/>
      <c r="K185" s="310"/>
      <c r="L185" s="311"/>
      <c r="M185" s="311"/>
      <c r="N185" s="312"/>
      <c r="O185" s="312"/>
      <c r="P185" s="313"/>
      <c r="Q185" s="312"/>
      <c r="R185" s="327"/>
    </row>
    <row r="186" spans="1:18">
      <c r="A186" s="303"/>
      <c r="B186" s="430"/>
      <c r="C186" s="304"/>
      <c r="D186" s="305"/>
      <c r="E186" s="306"/>
      <c r="F186" s="306"/>
      <c r="G186" s="306"/>
      <c r="H186" s="307"/>
      <c r="I186" s="306"/>
      <c r="J186" s="308"/>
      <c r="K186" s="304"/>
      <c r="L186" s="305"/>
      <c r="M186" s="305"/>
      <c r="N186" s="306"/>
      <c r="O186" s="306"/>
      <c r="P186" s="307"/>
      <c r="Q186" s="306"/>
      <c r="R186" s="328"/>
    </row>
    <row r="187" spans="1:18">
      <c r="A187" s="309"/>
      <c r="B187" s="431"/>
      <c r="C187" s="310"/>
      <c r="D187" s="311"/>
      <c r="E187" s="312"/>
      <c r="F187" s="312"/>
      <c r="G187" s="312"/>
      <c r="H187" s="313"/>
      <c r="I187" s="312"/>
      <c r="J187" s="302"/>
      <c r="K187" s="310"/>
      <c r="L187" s="311"/>
      <c r="M187" s="311"/>
      <c r="N187" s="312"/>
      <c r="O187" s="312"/>
      <c r="P187" s="313"/>
      <c r="Q187" s="312"/>
      <c r="R187" s="327"/>
    </row>
    <row r="188" spans="1:18">
      <c r="A188" s="303"/>
      <c r="B188" s="430"/>
      <c r="C188" s="304"/>
      <c r="D188" s="305"/>
      <c r="E188" s="306"/>
      <c r="F188" s="306"/>
      <c r="G188" s="306"/>
      <c r="H188" s="307"/>
      <c r="I188" s="306"/>
      <c r="J188" s="308"/>
      <c r="K188" s="304"/>
      <c r="L188" s="305"/>
      <c r="M188" s="305"/>
      <c r="N188" s="306"/>
      <c r="O188" s="306"/>
      <c r="P188" s="307"/>
      <c r="Q188" s="306"/>
      <c r="R188" s="328"/>
    </row>
    <row r="189" spans="1:18">
      <c r="A189" s="309"/>
      <c r="B189" s="431"/>
      <c r="C189" s="310"/>
      <c r="D189" s="311"/>
      <c r="E189" s="312"/>
      <c r="F189" s="312"/>
      <c r="G189" s="312"/>
      <c r="H189" s="313"/>
      <c r="I189" s="312"/>
      <c r="J189" s="302"/>
      <c r="K189" s="310"/>
      <c r="L189" s="311"/>
      <c r="M189" s="311"/>
      <c r="N189" s="312"/>
      <c r="O189" s="312"/>
      <c r="P189" s="313"/>
      <c r="Q189" s="312"/>
      <c r="R189" s="327"/>
    </row>
    <row r="190" spans="1:18">
      <c r="A190" s="303"/>
      <c r="B190" s="430"/>
      <c r="C190" s="304"/>
      <c r="D190" s="305"/>
      <c r="E190" s="306"/>
      <c r="F190" s="306"/>
      <c r="G190" s="306"/>
      <c r="H190" s="307"/>
      <c r="I190" s="306"/>
      <c r="J190" s="308"/>
      <c r="K190" s="304"/>
      <c r="L190" s="305"/>
      <c r="M190" s="305"/>
      <c r="N190" s="306"/>
      <c r="O190" s="306"/>
      <c r="P190" s="307"/>
      <c r="Q190" s="306"/>
      <c r="R190" s="328"/>
    </row>
    <row r="191" spans="1:18">
      <c r="A191" s="309"/>
      <c r="B191" s="431"/>
      <c r="C191" s="310"/>
      <c r="D191" s="311"/>
      <c r="E191" s="312"/>
      <c r="F191" s="312"/>
      <c r="G191" s="312"/>
      <c r="H191" s="313"/>
      <c r="I191" s="312"/>
      <c r="J191" s="302"/>
      <c r="K191" s="310"/>
      <c r="L191" s="311"/>
      <c r="M191" s="311"/>
      <c r="N191" s="312"/>
      <c r="O191" s="312"/>
      <c r="P191" s="313"/>
      <c r="Q191" s="312"/>
      <c r="R191" s="327"/>
    </row>
    <row r="192" spans="1:18">
      <c r="A192" s="303"/>
      <c r="B192" s="430"/>
      <c r="C192" s="304"/>
      <c r="D192" s="305"/>
      <c r="E192" s="306"/>
      <c r="F192" s="306"/>
      <c r="G192" s="306"/>
      <c r="H192" s="307"/>
      <c r="I192" s="306"/>
      <c r="J192" s="308"/>
      <c r="K192" s="304"/>
      <c r="L192" s="305"/>
      <c r="M192" s="305"/>
      <c r="N192" s="306"/>
      <c r="O192" s="306"/>
      <c r="P192" s="307"/>
      <c r="Q192" s="306"/>
      <c r="R192" s="328"/>
    </row>
    <row r="193" spans="1:18">
      <c r="A193" s="309"/>
      <c r="B193" s="431"/>
      <c r="C193" s="310"/>
      <c r="D193" s="311"/>
      <c r="E193" s="312"/>
      <c r="F193" s="312"/>
      <c r="G193" s="312"/>
      <c r="H193" s="313"/>
      <c r="I193" s="312"/>
      <c r="J193" s="302"/>
      <c r="K193" s="310"/>
      <c r="L193" s="311"/>
      <c r="M193" s="311"/>
      <c r="N193" s="312"/>
      <c r="O193" s="312"/>
      <c r="P193" s="313"/>
      <c r="Q193" s="312"/>
      <c r="R193" s="327"/>
    </row>
    <row r="194" spans="1:18">
      <c r="A194" s="303"/>
      <c r="B194" s="430"/>
      <c r="C194" s="304"/>
      <c r="D194" s="305"/>
      <c r="E194" s="306"/>
      <c r="F194" s="306"/>
      <c r="G194" s="306"/>
      <c r="H194" s="307"/>
      <c r="I194" s="306"/>
      <c r="J194" s="308"/>
      <c r="K194" s="304"/>
      <c r="L194" s="305"/>
      <c r="M194" s="305"/>
      <c r="N194" s="306"/>
      <c r="O194" s="306"/>
      <c r="P194" s="307"/>
      <c r="Q194" s="306"/>
      <c r="R194" s="328"/>
    </row>
    <row r="195" spans="1:18">
      <c r="A195" s="309"/>
      <c r="B195" s="431"/>
      <c r="C195" s="310"/>
      <c r="D195" s="311"/>
      <c r="E195" s="312"/>
      <c r="F195" s="312"/>
      <c r="G195" s="312"/>
      <c r="H195" s="313"/>
      <c r="I195" s="312"/>
      <c r="J195" s="302"/>
      <c r="K195" s="310"/>
      <c r="L195" s="311"/>
      <c r="M195" s="311"/>
      <c r="N195" s="312"/>
      <c r="O195" s="312"/>
      <c r="P195" s="313"/>
      <c r="Q195" s="312"/>
      <c r="R195" s="327"/>
    </row>
    <row r="196" spans="1:18">
      <c r="A196" s="303"/>
      <c r="B196" s="430"/>
      <c r="C196" s="304"/>
      <c r="D196" s="305"/>
      <c r="E196" s="306"/>
      <c r="F196" s="306"/>
      <c r="G196" s="306"/>
      <c r="H196" s="307"/>
      <c r="I196" s="306"/>
      <c r="J196" s="308"/>
      <c r="K196" s="304"/>
      <c r="L196" s="305"/>
      <c r="M196" s="305"/>
      <c r="N196" s="306"/>
      <c r="O196" s="306"/>
      <c r="P196" s="307"/>
      <c r="Q196" s="306"/>
      <c r="R196" s="328"/>
    </row>
    <row r="197" spans="1:18">
      <c r="A197" s="309"/>
      <c r="B197" s="431"/>
      <c r="C197" s="310"/>
      <c r="D197" s="311"/>
      <c r="E197" s="312"/>
      <c r="F197" s="312"/>
      <c r="G197" s="312"/>
      <c r="H197" s="313"/>
      <c r="I197" s="312"/>
      <c r="J197" s="302"/>
      <c r="K197" s="310"/>
      <c r="L197" s="311"/>
      <c r="M197" s="311"/>
      <c r="N197" s="312"/>
      <c r="O197" s="312"/>
      <c r="P197" s="313"/>
      <c r="Q197" s="312"/>
      <c r="R197" s="327"/>
    </row>
    <row r="198" spans="1:18">
      <c r="A198" s="303"/>
      <c r="B198" s="430"/>
      <c r="C198" s="304"/>
      <c r="D198" s="305"/>
      <c r="E198" s="306"/>
      <c r="F198" s="306"/>
      <c r="G198" s="306"/>
      <c r="H198" s="307"/>
      <c r="I198" s="306"/>
      <c r="J198" s="308"/>
      <c r="K198" s="304"/>
      <c r="L198" s="305"/>
      <c r="M198" s="305"/>
      <c r="N198" s="306"/>
      <c r="O198" s="306"/>
      <c r="P198" s="307"/>
      <c r="Q198" s="306"/>
      <c r="R198" s="328"/>
    </row>
    <row r="199" spans="1:18">
      <c r="A199" s="309"/>
      <c r="B199" s="431"/>
      <c r="C199" s="310"/>
      <c r="D199" s="311"/>
      <c r="E199" s="312"/>
      <c r="F199" s="312"/>
      <c r="G199" s="312"/>
      <c r="H199" s="313"/>
      <c r="I199" s="312"/>
      <c r="J199" s="302"/>
      <c r="K199" s="310"/>
      <c r="L199" s="311"/>
      <c r="M199" s="311"/>
      <c r="N199" s="312"/>
      <c r="O199" s="312"/>
      <c r="P199" s="313"/>
      <c r="Q199" s="312"/>
      <c r="R199" s="327"/>
    </row>
    <row r="200" spans="1:18">
      <c r="A200" s="303"/>
      <c r="B200" s="430"/>
      <c r="C200" s="304"/>
      <c r="D200" s="305"/>
      <c r="E200" s="306"/>
      <c r="F200" s="306"/>
      <c r="G200" s="306"/>
      <c r="H200" s="307"/>
      <c r="I200" s="306"/>
      <c r="J200" s="308"/>
      <c r="K200" s="304"/>
      <c r="L200" s="305"/>
      <c r="M200" s="305"/>
      <c r="N200" s="306"/>
      <c r="O200" s="306"/>
      <c r="P200" s="307"/>
      <c r="Q200" s="306"/>
      <c r="R200" s="328"/>
    </row>
    <row r="201" spans="1:18">
      <c r="A201" s="309"/>
      <c r="B201" s="431"/>
      <c r="C201" s="310"/>
      <c r="D201" s="311"/>
      <c r="E201" s="312"/>
      <c r="F201" s="312"/>
      <c r="G201" s="312"/>
      <c r="H201" s="313"/>
      <c r="I201" s="312"/>
      <c r="J201" s="302"/>
      <c r="K201" s="310"/>
      <c r="L201" s="311"/>
      <c r="M201" s="311"/>
      <c r="N201" s="312"/>
      <c r="O201" s="312"/>
      <c r="P201" s="313"/>
      <c r="Q201" s="312"/>
      <c r="R201" s="327"/>
    </row>
    <row r="202" spans="1:18">
      <c r="A202" s="303"/>
      <c r="B202" s="430"/>
      <c r="C202" s="304"/>
      <c r="D202" s="305"/>
      <c r="E202" s="306"/>
      <c r="F202" s="306"/>
      <c r="G202" s="306"/>
      <c r="H202" s="307"/>
      <c r="I202" s="306"/>
      <c r="J202" s="308"/>
      <c r="K202" s="304"/>
      <c r="L202" s="305"/>
      <c r="M202" s="305"/>
      <c r="N202" s="306"/>
      <c r="O202" s="306"/>
      <c r="P202" s="307"/>
      <c r="Q202" s="306"/>
      <c r="R202" s="328"/>
    </row>
    <row r="203" spans="1:18">
      <c r="A203" s="309"/>
      <c r="B203" s="431"/>
      <c r="C203" s="310"/>
      <c r="D203" s="311"/>
      <c r="E203" s="312"/>
      <c r="F203" s="312"/>
      <c r="G203" s="312"/>
      <c r="H203" s="313"/>
      <c r="I203" s="312"/>
      <c r="J203" s="302"/>
      <c r="K203" s="310"/>
      <c r="L203" s="311"/>
      <c r="M203" s="311"/>
      <c r="N203" s="312"/>
      <c r="O203" s="312"/>
      <c r="P203" s="313"/>
      <c r="Q203" s="312"/>
      <c r="R203" s="327"/>
    </row>
    <row r="204" spans="1:18">
      <c r="A204" s="303"/>
      <c r="B204" s="430"/>
      <c r="C204" s="304"/>
      <c r="D204" s="305"/>
      <c r="E204" s="306"/>
      <c r="F204" s="306"/>
      <c r="G204" s="306"/>
      <c r="H204" s="307"/>
      <c r="I204" s="306"/>
      <c r="J204" s="308"/>
      <c r="K204" s="304"/>
      <c r="L204" s="305"/>
      <c r="M204" s="305"/>
      <c r="N204" s="306"/>
      <c r="O204" s="306"/>
      <c r="P204" s="307"/>
      <c r="Q204" s="306"/>
      <c r="R204" s="328"/>
    </row>
    <row r="205" spans="1:18">
      <c r="A205" s="309"/>
      <c r="B205" s="431"/>
      <c r="C205" s="310"/>
      <c r="D205" s="311"/>
      <c r="E205" s="312"/>
      <c r="F205" s="312"/>
      <c r="G205" s="312"/>
      <c r="H205" s="313"/>
      <c r="I205" s="312"/>
      <c r="J205" s="302"/>
      <c r="K205" s="310"/>
      <c r="L205" s="311"/>
      <c r="M205" s="311"/>
      <c r="N205" s="312"/>
      <c r="O205" s="312"/>
      <c r="P205" s="313"/>
      <c r="Q205" s="312"/>
      <c r="R205" s="327"/>
    </row>
    <row r="206" spans="1:18">
      <c r="A206" s="303"/>
      <c r="B206" s="430"/>
      <c r="C206" s="304"/>
      <c r="D206" s="305"/>
      <c r="E206" s="306"/>
      <c r="F206" s="306"/>
      <c r="G206" s="306"/>
      <c r="H206" s="307"/>
      <c r="I206" s="306"/>
      <c r="J206" s="308"/>
      <c r="K206" s="304"/>
      <c r="L206" s="305"/>
      <c r="M206" s="305"/>
      <c r="N206" s="306"/>
      <c r="O206" s="306"/>
      <c r="P206" s="307"/>
      <c r="Q206" s="306"/>
      <c r="R206" s="328"/>
    </row>
    <row r="207" spans="1:18">
      <c r="A207" s="309"/>
      <c r="B207" s="431"/>
      <c r="C207" s="310"/>
      <c r="D207" s="311"/>
      <c r="E207" s="312"/>
      <c r="F207" s="312"/>
      <c r="G207" s="312"/>
      <c r="H207" s="313"/>
      <c r="I207" s="312"/>
      <c r="J207" s="302"/>
      <c r="K207" s="310"/>
      <c r="L207" s="311"/>
      <c r="M207" s="311"/>
      <c r="N207" s="312"/>
      <c r="O207" s="312"/>
      <c r="P207" s="313"/>
      <c r="Q207" s="312"/>
      <c r="R207" s="327"/>
    </row>
    <row r="208" spans="1:18">
      <c r="A208" s="303"/>
      <c r="B208" s="430"/>
      <c r="C208" s="304"/>
      <c r="D208" s="305"/>
      <c r="E208" s="306"/>
      <c r="F208" s="306"/>
      <c r="G208" s="306"/>
      <c r="H208" s="307"/>
      <c r="I208" s="306"/>
      <c r="J208" s="308"/>
      <c r="K208" s="304"/>
      <c r="L208" s="305"/>
      <c r="M208" s="305"/>
      <c r="N208" s="306"/>
      <c r="O208" s="306"/>
      <c r="P208" s="307"/>
      <c r="Q208" s="306"/>
      <c r="R208" s="328"/>
    </row>
    <row r="209" spans="1:18">
      <c r="A209" s="309"/>
      <c r="B209" s="431"/>
      <c r="C209" s="310"/>
      <c r="D209" s="311"/>
      <c r="E209" s="312"/>
      <c r="F209" s="312"/>
      <c r="G209" s="312"/>
      <c r="H209" s="313"/>
      <c r="I209" s="312"/>
      <c r="J209" s="302"/>
      <c r="K209" s="310"/>
      <c r="L209" s="311"/>
      <c r="M209" s="311"/>
      <c r="N209" s="312"/>
      <c r="O209" s="312"/>
      <c r="P209" s="313"/>
      <c r="Q209" s="312"/>
      <c r="R209" s="327"/>
    </row>
    <row r="210" spans="1:18">
      <c r="A210" s="303"/>
      <c r="B210" s="430"/>
      <c r="C210" s="304"/>
      <c r="D210" s="305"/>
      <c r="E210" s="306"/>
      <c r="F210" s="306"/>
      <c r="G210" s="306"/>
      <c r="H210" s="307"/>
      <c r="I210" s="306"/>
      <c r="J210" s="308"/>
      <c r="K210" s="304"/>
      <c r="L210" s="305"/>
      <c r="M210" s="305"/>
      <c r="N210" s="306"/>
      <c r="O210" s="306"/>
      <c r="P210" s="307"/>
      <c r="Q210" s="306"/>
      <c r="R210" s="328"/>
    </row>
    <row r="211" spans="1:18">
      <c r="A211" s="309"/>
      <c r="B211" s="431"/>
      <c r="C211" s="310"/>
      <c r="D211" s="311"/>
      <c r="E211" s="312"/>
      <c r="F211" s="312"/>
      <c r="G211" s="312"/>
      <c r="H211" s="313"/>
      <c r="I211" s="312"/>
      <c r="J211" s="302"/>
      <c r="K211" s="310"/>
      <c r="L211" s="311"/>
      <c r="M211" s="311"/>
      <c r="N211" s="312"/>
      <c r="O211" s="312"/>
      <c r="P211" s="313"/>
      <c r="Q211" s="312"/>
      <c r="R211" s="327"/>
    </row>
    <row r="212" spans="1:18">
      <c r="A212" s="303"/>
      <c r="B212" s="430"/>
      <c r="C212" s="304"/>
      <c r="D212" s="305"/>
      <c r="E212" s="306"/>
      <c r="F212" s="306"/>
      <c r="G212" s="306"/>
      <c r="H212" s="307"/>
      <c r="I212" s="306"/>
      <c r="J212" s="308"/>
      <c r="K212" s="304"/>
      <c r="L212" s="305"/>
      <c r="M212" s="305"/>
      <c r="N212" s="306"/>
      <c r="O212" s="306"/>
      <c r="P212" s="307"/>
      <c r="Q212" s="306"/>
      <c r="R212" s="328"/>
    </row>
    <row r="213" spans="1:18">
      <c r="A213" s="309"/>
      <c r="B213" s="431"/>
      <c r="C213" s="310"/>
      <c r="D213" s="311"/>
      <c r="E213" s="312"/>
      <c r="F213" s="312"/>
      <c r="G213" s="312"/>
      <c r="H213" s="313"/>
      <c r="I213" s="312"/>
      <c r="J213" s="302"/>
      <c r="K213" s="310"/>
      <c r="L213" s="311"/>
      <c r="M213" s="311"/>
      <c r="N213" s="312"/>
      <c r="O213" s="312"/>
      <c r="P213" s="313"/>
      <c r="Q213" s="312"/>
      <c r="R213" s="327"/>
    </row>
    <row r="214" spans="1:18">
      <c r="A214" s="303"/>
      <c r="B214" s="430"/>
      <c r="C214" s="304"/>
      <c r="D214" s="305"/>
      <c r="E214" s="306"/>
      <c r="F214" s="306"/>
      <c r="G214" s="306"/>
      <c r="H214" s="307"/>
      <c r="I214" s="306"/>
      <c r="J214" s="308"/>
      <c r="K214" s="304"/>
      <c r="L214" s="305"/>
      <c r="M214" s="305"/>
      <c r="N214" s="306"/>
      <c r="O214" s="306"/>
      <c r="P214" s="307"/>
      <c r="Q214" s="306"/>
      <c r="R214" s="328"/>
    </row>
    <row r="215" spans="1:18">
      <c r="A215" s="309"/>
      <c r="B215" s="431"/>
      <c r="C215" s="310"/>
      <c r="D215" s="311"/>
      <c r="E215" s="312"/>
      <c r="F215" s="312"/>
      <c r="G215" s="312"/>
      <c r="H215" s="313"/>
      <c r="I215" s="312"/>
      <c r="J215" s="302"/>
      <c r="K215" s="310"/>
      <c r="L215" s="311"/>
      <c r="M215" s="311"/>
      <c r="N215" s="312"/>
      <c r="O215" s="312"/>
      <c r="P215" s="313"/>
      <c r="Q215" s="312"/>
      <c r="R215" s="327"/>
    </row>
    <row r="216" spans="1:18">
      <c r="A216" s="303"/>
      <c r="B216" s="430"/>
      <c r="C216" s="304"/>
      <c r="D216" s="305"/>
      <c r="E216" s="306"/>
      <c r="F216" s="306"/>
      <c r="G216" s="306"/>
      <c r="H216" s="307"/>
      <c r="I216" s="306"/>
      <c r="J216" s="308"/>
      <c r="K216" s="304"/>
      <c r="L216" s="305"/>
      <c r="M216" s="305"/>
      <c r="N216" s="306"/>
      <c r="O216" s="306"/>
      <c r="P216" s="307"/>
      <c r="Q216" s="306"/>
      <c r="R216" s="328"/>
    </row>
    <row r="217" spans="1:18">
      <c r="A217" s="309"/>
      <c r="B217" s="431"/>
      <c r="C217" s="310"/>
      <c r="D217" s="311"/>
      <c r="E217" s="312"/>
      <c r="F217" s="312"/>
      <c r="G217" s="312"/>
      <c r="H217" s="313"/>
      <c r="I217" s="312"/>
      <c r="J217" s="302"/>
      <c r="K217" s="310"/>
      <c r="L217" s="311"/>
      <c r="M217" s="311"/>
      <c r="N217" s="312"/>
      <c r="O217" s="312"/>
      <c r="P217" s="313"/>
      <c r="Q217" s="312"/>
      <c r="R217" s="327"/>
    </row>
    <row r="218" spans="1:18">
      <c r="A218" s="303"/>
      <c r="B218" s="430"/>
      <c r="C218" s="304"/>
      <c r="D218" s="305"/>
      <c r="E218" s="306"/>
      <c r="F218" s="306"/>
      <c r="G218" s="306"/>
      <c r="H218" s="307"/>
      <c r="I218" s="306"/>
      <c r="J218" s="308"/>
      <c r="K218" s="304"/>
      <c r="L218" s="305"/>
      <c r="M218" s="305"/>
      <c r="N218" s="306"/>
      <c r="O218" s="306"/>
      <c r="P218" s="307"/>
      <c r="Q218" s="306"/>
      <c r="R218" s="328"/>
    </row>
    <row r="219" spans="1:18">
      <c r="A219" s="309"/>
      <c r="B219" s="431"/>
      <c r="C219" s="310"/>
      <c r="D219" s="311"/>
      <c r="E219" s="312"/>
      <c r="F219" s="312"/>
      <c r="G219" s="312"/>
      <c r="H219" s="313"/>
      <c r="I219" s="312"/>
      <c r="J219" s="302"/>
      <c r="K219" s="310"/>
      <c r="L219" s="311"/>
      <c r="M219" s="311"/>
      <c r="N219" s="312"/>
      <c r="O219" s="312"/>
      <c r="P219" s="313"/>
      <c r="Q219" s="312"/>
      <c r="R219" s="327"/>
    </row>
    <row r="220" spans="1:18">
      <c r="A220" s="303"/>
      <c r="B220" s="430"/>
      <c r="C220" s="304"/>
      <c r="D220" s="305"/>
      <c r="E220" s="306"/>
      <c r="F220" s="306"/>
      <c r="G220" s="306"/>
      <c r="H220" s="307"/>
      <c r="I220" s="306"/>
      <c r="J220" s="308"/>
      <c r="K220" s="304"/>
      <c r="L220" s="305"/>
      <c r="M220" s="305"/>
      <c r="N220" s="306"/>
      <c r="O220" s="306"/>
      <c r="P220" s="307"/>
      <c r="Q220" s="306"/>
      <c r="R220" s="328"/>
    </row>
    <row r="221" spans="1:18">
      <c r="A221" s="309"/>
      <c r="B221" s="431"/>
      <c r="C221" s="310"/>
      <c r="D221" s="311"/>
      <c r="E221" s="312"/>
      <c r="F221" s="312"/>
      <c r="G221" s="312"/>
      <c r="H221" s="313"/>
      <c r="I221" s="312"/>
      <c r="J221" s="302"/>
      <c r="K221" s="310"/>
      <c r="L221" s="311"/>
      <c r="M221" s="311"/>
      <c r="N221" s="312"/>
      <c r="O221" s="312"/>
      <c r="P221" s="313"/>
      <c r="Q221" s="312"/>
      <c r="R221" s="327"/>
    </row>
    <row r="222" spans="1:18">
      <c r="A222" s="303"/>
      <c r="B222" s="430"/>
      <c r="C222" s="304"/>
      <c r="D222" s="305"/>
      <c r="E222" s="306"/>
      <c r="F222" s="306"/>
      <c r="G222" s="306"/>
      <c r="H222" s="307"/>
      <c r="I222" s="306"/>
      <c r="J222" s="308"/>
      <c r="K222" s="304"/>
      <c r="L222" s="305"/>
      <c r="M222" s="305"/>
      <c r="N222" s="306"/>
      <c r="O222" s="306"/>
      <c r="P222" s="307"/>
      <c r="Q222" s="306"/>
      <c r="R222" s="328"/>
    </row>
    <row r="223" spans="1:18">
      <c r="A223" s="309"/>
      <c r="B223" s="431"/>
      <c r="C223" s="310"/>
      <c r="D223" s="311"/>
      <c r="E223" s="312"/>
      <c r="F223" s="312"/>
      <c r="G223" s="312"/>
      <c r="H223" s="313"/>
      <c r="I223" s="312"/>
      <c r="J223" s="302"/>
      <c r="K223" s="310"/>
      <c r="L223" s="311"/>
      <c r="M223" s="311"/>
      <c r="N223" s="312"/>
      <c r="O223" s="312"/>
      <c r="P223" s="313"/>
      <c r="Q223" s="312"/>
      <c r="R223" s="327"/>
    </row>
    <row r="224" spans="1:18">
      <c r="A224" s="303"/>
      <c r="B224" s="430"/>
      <c r="C224" s="304"/>
      <c r="D224" s="305"/>
      <c r="E224" s="306"/>
      <c r="F224" s="306"/>
      <c r="G224" s="306"/>
      <c r="H224" s="307"/>
      <c r="I224" s="306"/>
      <c r="J224" s="308"/>
      <c r="K224" s="304"/>
      <c r="L224" s="305"/>
      <c r="M224" s="305"/>
      <c r="N224" s="306"/>
      <c r="O224" s="306"/>
      <c r="P224" s="307"/>
      <c r="Q224" s="306"/>
      <c r="R224" s="328"/>
    </row>
    <row r="225" spans="1:18">
      <c r="A225" s="309"/>
      <c r="B225" s="431"/>
      <c r="C225" s="310"/>
      <c r="D225" s="311"/>
      <c r="E225" s="312"/>
      <c r="F225" s="312"/>
      <c r="G225" s="312"/>
      <c r="H225" s="313"/>
      <c r="I225" s="312"/>
      <c r="J225" s="302"/>
      <c r="K225" s="310"/>
      <c r="L225" s="311"/>
      <c r="M225" s="311"/>
      <c r="N225" s="312"/>
      <c r="O225" s="312"/>
      <c r="P225" s="313"/>
      <c r="Q225" s="312"/>
      <c r="R225" s="327"/>
    </row>
    <row r="226" spans="1:18">
      <c r="A226" s="303"/>
      <c r="B226" s="430"/>
      <c r="C226" s="304"/>
      <c r="D226" s="305"/>
      <c r="E226" s="306"/>
      <c r="F226" s="306"/>
      <c r="G226" s="306"/>
      <c r="H226" s="307"/>
      <c r="I226" s="306"/>
      <c r="J226" s="308"/>
      <c r="K226" s="304"/>
      <c r="L226" s="305"/>
      <c r="M226" s="305"/>
      <c r="N226" s="306"/>
      <c r="O226" s="306"/>
      <c r="P226" s="307"/>
      <c r="Q226" s="306"/>
      <c r="R226" s="328"/>
    </row>
    <row r="227" spans="1:18">
      <c r="A227" s="309"/>
      <c r="B227" s="431"/>
      <c r="C227" s="310"/>
      <c r="D227" s="311"/>
      <c r="E227" s="312"/>
      <c r="F227" s="312"/>
      <c r="G227" s="312"/>
      <c r="H227" s="313"/>
      <c r="I227" s="312"/>
      <c r="J227" s="302"/>
      <c r="K227" s="310"/>
      <c r="L227" s="311"/>
      <c r="M227" s="311"/>
      <c r="N227" s="312"/>
      <c r="O227" s="312"/>
      <c r="P227" s="313"/>
      <c r="Q227" s="312"/>
      <c r="R227" s="327"/>
    </row>
    <row r="228" spans="1:18">
      <c r="A228" s="303"/>
      <c r="B228" s="430"/>
      <c r="C228" s="304"/>
      <c r="D228" s="305"/>
      <c r="E228" s="306"/>
      <c r="F228" s="306"/>
      <c r="G228" s="306"/>
      <c r="H228" s="307"/>
      <c r="I228" s="306"/>
      <c r="J228" s="308"/>
      <c r="K228" s="304"/>
      <c r="L228" s="305"/>
      <c r="M228" s="305"/>
      <c r="N228" s="306"/>
      <c r="O228" s="306"/>
      <c r="P228" s="307"/>
      <c r="Q228" s="306"/>
      <c r="R228" s="328"/>
    </row>
    <row r="229" spans="1:18">
      <c r="A229" s="309"/>
      <c r="B229" s="431"/>
      <c r="C229" s="310"/>
      <c r="D229" s="311"/>
      <c r="E229" s="312"/>
      <c r="F229" s="312"/>
      <c r="G229" s="312"/>
      <c r="H229" s="313"/>
      <c r="I229" s="312"/>
      <c r="J229" s="302"/>
      <c r="K229" s="310"/>
      <c r="L229" s="311"/>
      <c r="M229" s="311"/>
      <c r="N229" s="312"/>
      <c r="O229" s="312"/>
      <c r="P229" s="313"/>
      <c r="Q229" s="312"/>
      <c r="R229" s="327"/>
    </row>
    <row r="230" spans="1:18">
      <c r="A230" s="303"/>
      <c r="B230" s="430"/>
      <c r="C230" s="304"/>
      <c r="D230" s="305"/>
      <c r="E230" s="306"/>
      <c r="F230" s="306"/>
      <c r="G230" s="306"/>
      <c r="H230" s="307"/>
      <c r="I230" s="306"/>
      <c r="J230" s="308"/>
      <c r="K230" s="304"/>
      <c r="L230" s="305"/>
      <c r="M230" s="305"/>
      <c r="N230" s="306"/>
      <c r="O230" s="306"/>
      <c r="P230" s="307"/>
      <c r="Q230" s="306"/>
      <c r="R230" s="328"/>
    </row>
    <row r="231" spans="1:18">
      <c r="A231" s="309"/>
      <c r="B231" s="431"/>
      <c r="C231" s="310"/>
      <c r="D231" s="311"/>
      <c r="E231" s="312"/>
      <c r="F231" s="312"/>
      <c r="G231" s="312"/>
      <c r="H231" s="313"/>
      <c r="I231" s="312"/>
      <c r="J231" s="302"/>
      <c r="K231" s="310"/>
      <c r="L231" s="311"/>
      <c r="M231" s="311"/>
      <c r="N231" s="312"/>
      <c r="O231" s="312"/>
      <c r="P231" s="313"/>
      <c r="Q231" s="312"/>
      <c r="R231" s="327"/>
    </row>
    <row r="232" spans="1:18">
      <c r="A232" s="303"/>
      <c r="B232" s="430"/>
      <c r="C232" s="304"/>
      <c r="D232" s="305"/>
      <c r="E232" s="306"/>
      <c r="F232" s="306"/>
      <c r="G232" s="306"/>
      <c r="H232" s="307"/>
      <c r="I232" s="306"/>
      <c r="J232" s="308"/>
      <c r="K232" s="304"/>
      <c r="L232" s="305"/>
      <c r="M232" s="305"/>
      <c r="N232" s="306"/>
      <c r="O232" s="306"/>
      <c r="P232" s="307"/>
      <c r="Q232" s="306"/>
      <c r="R232" s="328"/>
    </row>
    <row r="233" spans="1:18">
      <c r="A233" s="309"/>
      <c r="B233" s="431"/>
      <c r="C233" s="310"/>
      <c r="D233" s="311"/>
      <c r="E233" s="312"/>
      <c r="F233" s="312"/>
      <c r="G233" s="312"/>
      <c r="H233" s="313"/>
      <c r="I233" s="312"/>
      <c r="J233" s="302"/>
      <c r="K233" s="310"/>
      <c r="L233" s="311"/>
      <c r="M233" s="311"/>
      <c r="N233" s="312"/>
      <c r="O233" s="312"/>
      <c r="P233" s="313"/>
      <c r="Q233" s="312"/>
      <c r="R233" s="327"/>
    </row>
    <row r="234" spans="1:18">
      <c r="A234" s="303"/>
      <c r="B234" s="430"/>
      <c r="C234" s="304"/>
      <c r="D234" s="305"/>
      <c r="E234" s="306"/>
      <c r="F234" s="306"/>
      <c r="G234" s="306"/>
      <c r="H234" s="307"/>
      <c r="I234" s="306"/>
      <c r="J234" s="308"/>
      <c r="K234" s="304"/>
      <c r="L234" s="305"/>
      <c r="M234" s="305"/>
      <c r="N234" s="306"/>
      <c r="O234" s="306"/>
      <c r="P234" s="307"/>
      <c r="Q234" s="306"/>
      <c r="R234" s="328"/>
    </row>
    <row r="235" spans="1:18">
      <c r="A235" s="309"/>
      <c r="B235" s="431"/>
      <c r="C235" s="310"/>
      <c r="D235" s="311"/>
      <c r="E235" s="312"/>
      <c r="F235" s="312"/>
      <c r="G235" s="312"/>
      <c r="H235" s="313"/>
      <c r="I235" s="312"/>
      <c r="J235" s="302"/>
      <c r="K235" s="310"/>
      <c r="L235" s="311"/>
      <c r="M235" s="311"/>
      <c r="N235" s="312"/>
      <c r="O235" s="312"/>
      <c r="P235" s="313"/>
      <c r="Q235" s="312"/>
      <c r="R235" s="327"/>
    </row>
    <row r="236" spans="1:18">
      <c r="A236" s="303"/>
      <c r="B236" s="430"/>
      <c r="C236" s="304"/>
      <c r="D236" s="305"/>
      <c r="E236" s="306"/>
      <c r="F236" s="306"/>
      <c r="G236" s="306"/>
      <c r="H236" s="307"/>
      <c r="I236" s="306"/>
      <c r="J236" s="308"/>
      <c r="K236" s="304"/>
      <c r="L236" s="305"/>
      <c r="M236" s="305"/>
      <c r="N236" s="306"/>
      <c r="O236" s="306"/>
      <c r="P236" s="307"/>
      <c r="Q236" s="306"/>
      <c r="R236" s="328"/>
    </row>
    <row r="237" spans="1:18">
      <c r="A237" s="309"/>
      <c r="B237" s="431"/>
      <c r="C237" s="310"/>
      <c r="D237" s="311"/>
      <c r="E237" s="312"/>
      <c r="F237" s="312"/>
      <c r="G237" s="312"/>
      <c r="H237" s="313"/>
      <c r="I237" s="312"/>
      <c r="J237" s="302"/>
      <c r="K237" s="310"/>
      <c r="L237" s="311"/>
      <c r="M237" s="311"/>
      <c r="N237" s="312"/>
      <c r="O237" s="312"/>
      <c r="P237" s="313"/>
      <c r="Q237" s="312"/>
      <c r="R237" s="327"/>
    </row>
    <row r="238" spans="1:18">
      <c r="A238" s="303"/>
      <c r="B238" s="430"/>
      <c r="C238" s="304"/>
      <c r="D238" s="305"/>
      <c r="E238" s="306"/>
      <c r="F238" s="306"/>
      <c r="G238" s="306"/>
      <c r="H238" s="307"/>
      <c r="I238" s="306"/>
      <c r="J238" s="308"/>
      <c r="K238" s="304"/>
      <c r="L238" s="305"/>
      <c r="M238" s="305"/>
      <c r="N238" s="306"/>
      <c r="O238" s="306"/>
      <c r="P238" s="307"/>
      <c r="Q238" s="306"/>
      <c r="R238" s="328"/>
    </row>
    <row r="239" spans="1:18">
      <c r="A239" s="309"/>
      <c r="B239" s="431"/>
      <c r="C239" s="310"/>
      <c r="D239" s="311"/>
      <c r="E239" s="312"/>
      <c r="F239" s="312"/>
      <c r="G239" s="312"/>
      <c r="H239" s="313"/>
      <c r="I239" s="312"/>
      <c r="J239" s="302"/>
      <c r="K239" s="310"/>
      <c r="L239" s="311"/>
      <c r="M239" s="311"/>
      <c r="N239" s="312"/>
      <c r="O239" s="312"/>
      <c r="P239" s="313"/>
      <c r="Q239" s="312"/>
      <c r="R239" s="327"/>
    </row>
    <row r="240" spans="1:18">
      <c r="A240" s="303"/>
      <c r="B240" s="430"/>
      <c r="C240" s="304"/>
      <c r="D240" s="305"/>
      <c r="E240" s="306"/>
      <c r="F240" s="306"/>
      <c r="G240" s="306"/>
      <c r="H240" s="307"/>
      <c r="I240" s="306"/>
      <c r="J240" s="308"/>
      <c r="K240" s="304"/>
      <c r="L240" s="305"/>
      <c r="M240" s="305"/>
      <c r="N240" s="306"/>
      <c r="O240" s="306"/>
      <c r="P240" s="307"/>
      <c r="Q240" s="306"/>
      <c r="R240" s="328"/>
    </row>
    <row r="241" spans="1:18">
      <c r="A241" s="309"/>
      <c r="B241" s="431"/>
      <c r="C241" s="310"/>
      <c r="D241" s="311"/>
      <c r="E241" s="312"/>
      <c r="F241" s="312"/>
      <c r="G241" s="312"/>
      <c r="H241" s="313"/>
      <c r="I241" s="312"/>
      <c r="J241" s="302"/>
      <c r="K241" s="310"/>
      <c r="L241" s="311"/>
      <c r="M241" s="311"/>
      <c r="N241" s="312"/>
      <c r="O241" s="312"/>
      <c r="P241" s="313"/>
      <c r="Q241" s="312"/>
      <c r="R241" s="327"/>
    </row>
    <row r="242" spans="1:18">
      <c r="A242" s="303"/>
      <c r="B242" s="430"/>
      <c r="C242" s="304"/>
      <c r="D242" s="305"/>
      <c r="E242" s="306"/>
      <c r="F242" s="306"/>
      <c r="G242" s="306"/>
      <c r="H242" s="307"/>
      <c r="I242" s="306"/>
      <c r="J242" s="308"/>
      <c r="K242" s="304"/>
      <c r="L242" s="305"/>
      <c r="M242" s="305"/>
      <c r="N242" s="306"/>
      <c r="O242" s="306"/>
      <c r="P242" s="307"/>
      <c r="Q242" s="306"/>
      <c r="R242" s="328"/>
    </row>
    <row r="243" spans="1:18">
      <c r="A243" s="309"/>
      <c r="B243" s="431"/>
      <c r="C243" s="310"/>
      <c r="D243" s="311"/>
      <c r="E243" s="312"/>
      <c r="F243" s="312"/>
      <c r="G243" s="312"/>
      <c r="H243" s="313"/>
      <c r="I243" s="312"/>
      <c r="J243" s="302"/>
      <c r="K243" s="310"/>
      <c r="L243" s="311"/>
      <c r="M243" s="311"/>
      <c r="N243" s="312"/>
      <c r="O243" s="312"/>
      <c r="P243" s="313"/>
      <c r="Q243" s="312"/>
      <c r="R243" s="327"/>
    </row>
    <row r="244" spans="1:18">
      <c r="A244" s="303"/>
      <c r="B244" s="430"/>
      <c r="C244" s="304"/>
      <c r="D244" s="305"/>
      <c r="E244" s="306"/>
      <c r="F244" s="306"/>
      <c r="G244" s="306"/>
      <c r="H244" s="307"/>
      <c r="I244" s="306"/>
      <c r="J244" s="308"/>
      <c r="K244" s="304"/>
      <c r="L244" s="305"/>
      <c r="M244" s="305"/>
      <c r="N244" s="306"/>
      <c r="O244" s="306"/>
      <c r="P244" s="307"/>
      <c r="Q244" s="306"/>
      <c r="R244" s="328"/>
    </row>
    <row r="245" spans="1:18">
      <c r="A245" s="309"/>
      <c r="B245" s="431"/>
      <c r="C245" s="310"/>
      <c r="D245" s="311"/>
      <c r="E245" s="312"/>
      <c r="F245" s="312"/>
      <c r="G245" s="312"/>
      <c r="H245" s="313"/>
      <c r="I245" s="312"/>
      <c r="J245" s="302"/>
      <c r="K245" s="310"/>
      <c r="L245" s="311"/>
      <c r="M245" s="311"/>
      <c r="N245" s="312"/>
      <c r="O245" s="312"/>
      <c r="P245" s="313"/>
      <c r="Q245" s="312"/>
      <c r="R245" s="327"/>
    </row>
    <row r="246" spans="1:18">
      <c r="A246" s="303"/>
      <c r="B246" s="430"/>
      <c r="C246" s="304"/>
      <c r="D246" s="305"/>
      <c r="E246" s="306"/>
      <c r="F246" s="306"/>
      <c r="G246" s="306"/>
      <c r="H246" s="307"/>
      <c r="I246" s="306"/>
      <c r="J246" s="308"/>
      <c r="K246" s="304"/>
      <c r="L246" s="305"/>
      <c r="M246" s="305"/>
      <c r="N246" s="306"/>
      <c r="O246" s="306"/>
      <c r="P246" s="307"/>
      <c r="Q246" s="306"/>
      <c r="R246" s="328"/>
    </row>
    <row r="247" spans="1:18">
      <c r="A247" s="309"/>
      <c r="B247" s="431"/>
      <c r="C247" s="310"/>
      <c r="D247" s="311"/>
      <c r="E247" s="312"/>
      <c r="F247" s="312"/>
      <c r="G247" s="312"/>
      <c r="H247" s="313"/>
      <c r="I247" s="312"/>
      <c r="J247" s="302"/>
      <c r="K247" s="310"/>
      <c r="L247" s="311"/>
      <c r="M247" s="311"/>
      <c r="N247" s="312"/>
      <c r="O247" s="312"/>
      <c r="P247" s="313"/>
      <c r="Q247" s="312"/>
      <c r="R247" s="327"/>
    </row>
    <row r="248" spans="1:18">
      <c r="A248" s="303"/>
      <c r="B248" s="430"/>
      <c r="C248" s="304"/>
      <c r="D248" s="305"/>
      <c r="E248" s="306"/>
      <c r="F248" s="306"/>
      <c r="G248" s="306"/>
      <c r="H248" s="307"/>
      <c r="I248" s="306"/>
      <c r="J248" s="308"/>
      <c r="K248" s="304"/>
      <c r="L248" s="305"/>
      <c r="M248" s="305"/>
      <c r="N248" s="306"/>
      <c r="O248" s="306"/>
      <c r="P248" s="307"/>
      <c r="Q248" s="306"/>
      <c r="R248" s="328"/>
    </row>
    <row r="249" spans="1:18">
      <c r="A249" s="309"/>
      <c r="B249" s="431"/>
      <c r="C249" s="310"/>
      <c r="D249" s="311"/>
      <c r="E249" s="312"/>
      <c r="F249" s="312"/>
      <c r="G249" s="312"/>
      <c r="H249" s="313"/>
      <c r="I249" s="312"/>
      <c r="J249" s="302"/>
      <c r="K249" s="310"/>
      <c r="L249" s="311"/>
      <c r="M249" s="311"/>
      <c r="N249" s="312"/>
      <c r="O249" s="312"/>
      <c r="P249" s="313"/>
      <c r="Q249" s="312"/>
      <c r="R249" s="327"/>
    </row>
    <row r="250" spans="1:18">
      <c r="A250" s="303"/>
      <c r="B250" s="430"/>
      <c r="C250" s="304"/>
      <c r="D250" s="305"/>
      <c r="E250" s="306"/>
      <c r="F250" s="306"/>
      <c r="G250" s="306"/>
      <c r="H250" s="307"/>
      <c r="I250" s="306"/>
      <c r="J250" s="308"/>
      <c r="K250" s="304"/>
      <c r="L250" s="305"/>
      <c r="M250" s="305"/>
      <c r="N250" s="306"/>
      <c r="O250" s="306"/>
      <c r="P250" s="307"/>
      <c r="Q250" s="306"/>
      <c r="R250" s="328"/>
    </row>
    <row r="251" spans="1:18">
      <c r="A251" s="309"/>
      <c r="B251" s="431"/>
      <c r="C251" s="310"/>
      <c r="D251" s="311"/>
      <c r="E251" s="312"/>
      <c r="F251" s="312"/>
      <c r="G251" s="312"/>
      <c r="H251" s="313"/>
      <c r="I251" s="312"/>
      <c r="J251" s="302"/>
      <c r="K251" s="310"/>
      <c r="L251" s="311"/>
      <c r="M251" s="311"/>
      <c r="N251" s="312"/>
      <c r="O251" s="312"/>
      <c r="P251" s="313"/>
      <c r="Q251" s="312"/>
      <c r="R251" s="327"/>
    </row>
    <row r="252" spans="1:18">
      <c r="A252" s="303"/>
      <c r="B252" s="430"/>
      <c r="C252" s="304"/>
      <c r="D252" s="305"/>
      <c r="E252" s="306"/>
      <c r="F252" s="306"/>
      <c r="G252" s="306"/>
      <c r="H252" s="307"/>
      <c r="I252" s="306"/>
      <c r="J252" s="308"/>
      <c r="K252" s="304"/>
      <c r="L252" s="305"/>
      <c r="M252" s="305"/>
      <c r="N252" s="306"/>
      <c r="O252" s="306"/>
      <c r="P252" s="307"/>
      <c r="Q252" s="306"/>
      <c r="R252" s="328"/>
    </row>
    <row r="253" spans="1:18">
      <c r="A253" s="309"/>
      <c r="B253" s="431"/>
      <c r="C253" s="310"/>
      <c r="D253" s="311"/>
      <c r="E253" s="312"/>
      <c r="F253" s="312"/>
      <c r="G253" s="312"/>
      <c r="H253" s="313"/>
      <c r="I253" s="312"/>
      <c r="J253" s="302"/>
      <c r="K253" s="310"/>
      <c r="L253" s="311"/>
      <c r="M253" s="311"/>
      <c r="N253" s="312"/>
      <c r="O253" s="312"/>
      <c r="P253" s="313"/>
      <c r="Q253" s="312"/>
      <c r="R253" s="327"/>
    </row>
    <row r="254" spans="1:18">
      <c r="A254" s="303"/>
      <c r="B254" s="430"/>
      <c r="C254" s="304"/>
      <c r="D254" s="305"/>
      <c r="E254" s="306"/>
      <c r="F254" s="306"/>
      <c r="G254" s="306"/>
      <c r="H254" s="307"/>
      <c r="I254" s="306"/>
      <c r="J254" s="308"/>
      <c r="K254" s="304"/>
      <c r="L254" s="305"/>
      <c r="M254" s="305"/>
      <c r="N254" s="306"/>
      <c r="O254" s="306"/>
      <c r="P254" s="307"/>
      <c r="Q254" s="306"/>
      <c r="R254" s="328"/>
    </row>
    <row r="255" spans="1:18">
      <c r="A255" s="309"/>
      <c r="B255" s="431"/>
      <c r="C255" s="310"/>
      <c r="D255" s="311"/>
      <c r="E255" s="312"/>
      <c r="F255" s="312"/>
      <c r="G255" s="312"/>
      <c r="H255" s="313"/>
      <c r="I255" s="312"/>
      <c r="J255" s="302"/>
      <c r="K255" s="310"/>
      <c r="L255" s="311"/>
      <c r="M255" s="311"/>
      <c r="N255" s="312"/>
      <c r="O255" s="312"/>
      <c r="P255" s="313"/>
      <c r="Q255" s="312"/>
      <c r="R255" s="327"/>
    </row>
    <row r="256" spans="1:18">
      <c r="A256" s="303"/>
      <c r="B256" s="430"/>
      <c r="C256" s="304"/>
      <c r="D256" s="305"/>
      <c r="E256" s="306"/>
      <c r="F256" s="306"/>
      <c r="G256" s="306"/>
      <c r="H256" s="307"/>
      <c r="I256" s="306"/>
      <c r="J256" s="308"/>
      <c r="K256" s="304"/>
      <c r="L256" s="305"/>
      <c r="M256" s="305"/>
      <c r="N256" s="306"/>
      <c r="O256" s="306"/>
      <c r="P256" s="307"/>
      <c r="Q256" s="306"/>
      <c r="R256" s="328"/>
    </row>
    <row r="257" spans="1:18">
      <c r="A257" s="309"/>
      <c r="B257" s="431"/>
      <c r="C257" s="310"/>
      <c r="D257" s="311"/>
      <c r="E257" s="312"/>
      <c r="F257" s="312"/>
      <c r="G257" s="312"/>
      <c r="H257" s="313"/>
      <c r="I257" s="312"/>
      <c r="J257" s="302"/>
      <c r="K257" s="310"/>
      <c r="L257" s="311"/>
      <c r="M257" s="311"/>
      <c r="N257" s="312"/>
      <c r="O257" s="312"/>
      <c r="P257" s="313"/>
      <c r="Q257" s="312"/>
      <c r="R257" s="327"/>
    </row>
    <row r="258" spans="1:18">
      <c r="A258" s="303"/>
      <c r="B258" s="430"/>
      <c r="C258" s="304"/>
      <c r="D258" s="305"/>
      <c r="E258" s="306"/>
      <c r="F258" s="306"/>
      <c r="G258" s="306"/>
      <c r="H258" s="307"/>
      <c r="I258" s="306"/>
      <c r="J258" s="308"/>
      <c r="K258" s="304"/>
      <c r="L258" s="305"/>
      <c r="M258" s="305"/>
      <c r="N258" s="306"/>
      <c r="O258" s="306"/>
      <c r="P258" s="307"/>
      <c r="Q258" s="306"/>
      <c r="R258" s="328"/>
    </row>
    <row r="259" spans="1:18">
      <c r="A259" s="309"/>
      <c r="B259" s="431"/>
      <c r="C259" s="310"/>
      <c r="D259" s="311"/>
      <c r="E259" s="312"/>
      <c r="F259" s="312"/>
      <c r="G259" s="312"/>
      <c r="H259" s="313"/>
      <c r="I259" s="312"/>
      <c r="J259" s="302"/>
      <c r="K259" s="310"/>
      <c r="L259" s="311"/>
      <c r="M259" s="311"/>
      <c r="N259" s="312"/>
      <c r="O259" s="312"/>
      <c r="P259" s="313"/>
      <c r="Q259" s="312"/>
      <c r="R259" s="327"/>
    </row>
    <row r="260" spans="1:18">
      <c r="A260" s="303"/>
      <c r="B260" s="430"/>
      <c r="C260" s="304"/>
      <c r="D260" s="305"/>
      <c r="E260" s="306"/>
      <c r="F260" s="306"/>
      <c r="G260" s="306"/>
      <c r="H260" s="307"/>
      <c r="I260" s="306"/>
      <c r="J260" s="308"/>
      <c r="K260" s="304"/>
      <c r="L260" s="305"/>
      <c r="M260" s="305"/>
      <c r="N260" s="306"/>
      <c r="O260" s="306"/>
      <c r="P260" s="307"/>
      <c r="Q260" s="306"/>
      <c r="R260" s="328"/>
    </row>
    <row r="261" spans="1:18">
      <c r="A261" s="309"/>
      <c r="B261" s="431"/>
      <c r="C261" s="310"/>
      <c r="D261" s="311"/>
      <c r="E261" s="312"/>
      <c r="F261" s="312"/>
      <c r="G261" s="312"/>
      <c r="H261" s="313"/>
      <c r="I261" s="312"/>
      <c r="J261" s="302"/>
      <c r="K261" s="310"/>
      <c r="L261" s="311"/>
      <c r="M261" s="311"/>
      <c r="N261" s="312"/>
      <c r="O261" s="312"/>
      <c r="P261" s="313"/>
      <c r="Q261" s="312"/>
      <c r="R261" s="327"/>
    </row>
    <row r="262" spans="1:18">
      <c r="A262" s="303"/>
      <c r="B262" s="430"/>
      <c r="C262" s="304"/>
      <c r="D262" s="305"/>
      <c r="E262" s="306"/>
      <c r="F262" s="306"/>
      <c r="G262" s="306"/>
      <c r="H262" s="307"/>
      <c r="I262" s="306"/>
      <c r="J262" s="308"/>
      <c r="K262" s="304"/>
      <c r="L262" s="305"/>
      <c r="M262" s="305"/>
      <c r="N262" s="306"/>
      <c r="O262" s="306"/>
      <c r="P262" s="307"/>
      <c r="Q262" s="306"/>
      <c r="R262" s="328"/>
    </row>
    <row r="263" spans="1:18">
      <c r="A263" s="309"/>
      <c r="B263" s="431"/>
      <c r="C263" s="310"/>
      <c r="D263" s="311"/>
      <c r="E263" s="312"/>
      <c r="F263" s="312"/>
      <c r="G263" s="312"/>
      <c r="H263" s="313"/>
      <c r="I263" s="312"/>
      <c r="J263" s="302"/>
      <c r="K263" s="310"/>
      <c r="L263" s="311"/>
      <c r="M263" s="311"/>
      <c r="N263" s="312"/>
      <c r="O263" s="312"/>
      <c r="P263" s="313"/>
      <c r="Q263" s="312"/>
      <c r="R263" s="327"/>
    </row>
    <row r="264" spans="1:18">
      <c r="A264" s="303"/>
      <c r="B264" s="430"/>
      <c r="C264" s="304"/>
      <c r="D264" s="305"/>
      <c r="E264" s="306"/>
      <c r="F264" s="306"/>
      <c r="G264" s="306"/>
      <c r="H264" s="307"/>
      <c r="I264" s="306"/>
      <c r="J264" s="308"/>
      <c r="K264" s="304"/>
      <c r="L264" s="305"/>
      <c r="M264" s="305"/>
      <c r="N264" s="306"/>
      <c r="O264" s="306"/>
      <c r="P264" s="307"/>
      <c r="Q264" s="306"/>
      <c r="R264" s="328"/>
    </row>
    <row r="265" spans="1:18">
      <c r="A265" s="309"/>
      <c r="B265" s="431"/>
      <c r="C265" s="310"/>
      <c r="D265" s="311"/>
      <c r="E265" s="312"/>
      <c r="F265" s="312"/>
      <c r="G265" s="312"/>
      <c r="H265" s="313"/>
      <c r="I265" s="312"/>
      <c r="J265" s="302"/>
      <c r="K265" s="310"/>
      <c r="L265" s="311"/>
      <c r="M265" s="311"/>
      <c r="N265" s="312"/>
      <c r="O265" s="312"/>
      <c r="P265" s="313"/>
      <c r="Q265" s="312"/>
      <c r="R265" s="327"/>
    </row>
    <row r="266" spans="1:18">
      <c r="A266" s="303"/>
      <c r="B266" s="430"/>
      <c r="C266" s="304"/>
      <c r="D266" s="305"/>
      <c r="E266" s="306"/>
      <c r="F266" s="306"/>
      <c r="G266" s="306"/>
      <c r="H266" s="307"/>
      <c r="I266" s="306"/>
      <c r="J266" s="308"/>
      <c r="K266" s="304"/>
      <c r="L266" s="305"/>
      <c r="M266" s="305"/>
      <c r="N266" s="306"/>
      <c r="O266" s="306"/>
      <c r="P266" s="307"/>
      <c r="Q266" s="306"/>
      <c r="R266" s="328"/>
    </row>
    <row r="267" spans="1:18">
      <c r="A267" s="309"/>
      <c r="B267" s="431"/>
      <c r="C267" s="310"/>
      <c r="D267" s="311"/>
      <c r="E267" s="312"/>
      <c r="F267" s="312"/>
      <c r="G267" s="312"/>
      <c r="H267" s="313"/>
      <c r="I267" s="312"/>
      <c r="J267" s="302"/>
      <c r="K267" s="310"/>
      <c r="L267" s="311"/>
      <c r="M267" s="311"/>
      <c r="N267" s="312"/>
      <c r="O267" s="312"/>
      <c r="P267" s="313"/>
      <c r="Q267" s="312"/>
      <c r="R267" s="327"/>
    </row>
    <row r="268" spans="1:18">
      <c r="A268" s="303"/>
      <c r="B268" s="430"/>
      <c r="C268" s="304"/>
      <c r="D268" s="305"/>
      <c r="E268" s="306"/>
      <c r="F268" s="306"/>
      <c r="G268" s="306"/>
      <c r="H268" s="307"/>
      <c r="I268" s="306"/>
      <c r="J268" s="308"/>
      <c r="K268" s="304"/>
      <c r="L268" s="305"/>
      <c r="M268" s="305"/>
      <c r="N268" s="306"/>
      <c r="O268" s="306"/>
      <c r="P268" s="307"/>
      <c r="Q268" s="306"/>
      <c r="R268" s="328"/>
    </row>
    <row r="269" spans="1:18">
      <c r="A269" s="309"/>
      <c r="B269" s="431"/>
      <c r="C269" s="310"/>
      <c r="D269" s="311"/>
      <c r="E269" s="312"/>
      <c r="F269" s="312"/>
      <c r="G269" s="312"/>
      <c r="H269" s="313"/>
      <c r="I269" s="312"/>
      <c r="J269" s="302"/>
      <c r="K269" s="310"/>
      <c r="L269" s="311"/>
      <c r="M269" s="311"/>
      <c r="N269" s="312"/>
      <c r="O269" s="312"/>
      <c r="P269" s="313"/>
      <c r="Q269" s="312"/>
      <c r="R269" s="327"/>
    </row>
    <row r="270" spans="1:18">
      <c r="A270" s="303"/>
      <c r="B270" s="430"/>
      <c r="C270" s="304"/>
      <c r="D270" s="305"/>
      <c r="E270" s="306"/>
      <c r="F270" s="306"/>
      <c r="G270" s="306"/>
      <c r="H270" s="307"/>
      <c r="I270" s="306"/>
      <c r="J270" s="308"/>
      <c r="K270" s="304"/>
      <c r="L270" s="305"/>
      <c r="M270" s="305"/>
      <c r="N270" s="306"/>
      <c r="O270" s="306"/>
      <c r="P270" s="307"/>
      <c r="Q270" s="306"/>
      <c r="R270" s="328"/>
    </row>
    <row r="271" spans="1:18">
      <c r="A271" s="309"/>
      <c r="B271" s="431"/>
      <c r="C271" s="310"/>
      <c r="D271" s="311"/>
      <c r="E271" s="312"/>
      <c r="F271" s="312"/>
      <c r="G271" s="312"/>
      <c r="H271" s="313"/>
      <c r="I271" s="312"/>
      <c r="J271" s="302"/>
      <c r="K271" s="310"/>
      <c r="L271" s="311"/>
      <c r="M271" s="311"/>
      <c r="N271" s="312"/>
      <c r="O271" s="312"/>
      <c r="P271" s="313"/>
      <c r="Q271" s="312"/>
      <c r="R271" s="327"/>
    </row>
    <row r="272" spans="1:18">
      <c r="A272" s="303"/>
      <c r="B272" s="430"/>
      <c r="C272" s="304"/>
      <c r="D272" s="305"/>
      <c r="E272" s="306"/>
      <c r="F272" s="306"/>
      <c r="G272" s="306"/>
      <c r="H272" s="307"/>
      <c r="I272" s="306"/>
      <c r="J272" s="308"/>
      <c r="K272" s="304"/>
      <c r="L272" s="305"/>
      <c r="M272" s="305"/>
      <c r="N272" s="306"/>
      <c r="O272" s="306"/>
      <c r="P272" s="307"/>
      <c r="Q272" s="306"/>
      <c r="R272" s="328"/>
    </row>
    <row r="273" spans="1:18">
      <c r="A273" s="309"/>
      <c r="B273" s="431"/>
      <c r="C273" s="310"/>
      <c r="D273" s="311"/>
      <c r="E273" s="312"/>
      <c r="F273" s="312"/>
      <c r="G273" s="312"/>
      <c r="H273" s="313"/>
      <c r="I273" s="312"/>
      <c r="J273" s="302"/>
      <c r="K273" s="310"/>
      <c r="L273" s="311"/>
      <c r="M273" s="311"/>
      <c r="N273" s="312"/>
      <c r="O273" s="312"/>
      <c r="P273" s="313"/>
      <c r="Q273" s="312"/>
      <c r="R273" s="327"/>
    </row>
    <row r="274" spans="1:18">
      <c r="A274" s="303"/>
      <c r="B274" s="430"/>
      <c r="C274" s="304"/>
      <c r="D274" s="305"/>
      <c r="E274" s="306"/>
      <c r="F274" s="306"/>
      <c r="G274" s="306"/>
      <c r="H274" s="307"/>
      <c r="I274" s="306"/>
      <c r="J274" s="308"/>
      <c r="K274" s="304"/>
      <c r="L274" s="305"/>
      <c r="M274" s="305"/>
      <c r="N274" s="306"/>
      <c r="O274" s="306"/>
      <c r="P274" s="307"/>
      <c r="Q274" s="306"/>
      <c r="R274" s="328"/>
    </row>
    <row r="275" spans="1:18">
      <c r="A275" s="309"/>
      <c r="B275" s="431"/>
      <c r="C275" s="310"/>
      <c r="D275" s="311"/>
      <c r="E275" s="312"/>
      <c r="F275" s="312"/>
      <c r="G275" s="312"/>
      <c r="H275" s="313"/>
      <c r="I275" s="312"/>
      <c r="J275" s="302"/>
      <c r="K275" s="310"/>
      <c r="L275" s="311"/>
      <c r="M275" s="311"/>
      <c r="N275" s="312"/>
      <c r="O275" s="312"/>
      <c r="P275" s="313"/>
      <c r="Q275" s="312"/>
      <c r="R275" s="327"/>
    </row>
    <row r="276" spans="1:18">
      <c r="A276" s="303"/>
      <c r="B276" s="430"/>
      <c r="C276" s="304"/>
      <c r="D276" s="305"/>
      <c r="E276" s="306"/>
      <c r="F276" s="306"/>
      <c r="G276" s="306"/>
      <c r="H276" s="307"/>
      <c r="I276" s="306"/>
      <c r="J276" s="308"/>
      <c r="K276" s="304"/>
      <c r="L276" s="305"/>
      <c r="M276" s="305"/>
      <c r="N276" s="306"/>
      <c r="O276" s="306"/>
      <c r="P276" s="307"/>
      <c r="Q276" s="306"/>
      <c r="R276" s="328"/>
    </row>
    <row r="277" spans="1:18">
      <c r="A277" s="309"/>
      <c r="B277" s="431"/>
      <c r="C277" s="310"/>
      <c r="D277" s="311"/>
      <c r="E277" s="312"/>
      <c r="F277" s="312"/>
      <c r="G277" s="312"/>
      <c r="H277" s="313"/>
      <c r="I277" s="312"/>
      <c r="J277" s="302"/>
      <c r="K277" s="310"/>
      <c r="L277" s="311"/>
      <c r="M277" s="311"/>
      <c r="N277" s="312"/>
      <c r="O277" s="312"/>
      <c r="P277" s="313"/>
      <c r="Q277" s="312"/>
      <c r="R277" s="327"/>
    </row>
    <row r="278" spans="1:18">
      <c r="A278" s="303"/>
      <c r="B278" s="430"/>
      <c r="C278" s="304"/>
      <c r="D278" s="305"/>
      <c r="E278" s="306"/>
      <c r="F278" s="306"/>
      <c r="G278" s="306"/>
      <c r="H278" s="307"/>
      <c r="I278" s="306"/>
      <c r="J278" s="308"/>
      <c r="K278" s="304"/>
      <c r="L278" s="305"/>
      <c r="M278" s="305"/>
      <c r="N278" s="306"/>
      <c r="O278" s="306"/>
      <c r="P278" s="307"/>
      <c r="Q278" s="306"/>
      <c r="R278" s="328"/>
    </row>
    <row r="279" spans="1:18">
      <c r="A279" s="309"/>
      <c r="B279" s="431"/>
      <c r="C279" s="310"/>
      <c r="D279" s="311"/>
      <c r="E279" s="312"/>
      <c r="F279" s="312"/>
      <c r="G279" s="312"/>
      <c r="H279" s="313"/>
      <c r="I279" s="312"/>
      <c r="J279" s="302"/>
      <c r="K279" s="310"/>
      <c r="L279" s="311"/>
      <c r="M279" s="311"/>
      <c r="N279" s="312"/>
      <c r="O279" s="312"/>
      <c r="P279" s="313"/>
      <c r="Q279" s="312"/>
      <c r="R279" s="327"/>
    </row>
    <row r="280" spans="1:18">
      <c r="A280" s="303"/>
      <c r="B280" s="430"/>
      <c r="C280" s="304"/>
      <c r="D280" s="305"/>
      <c r="E280" s="306"/>
      <c r="F280" s="306"/>
      <c r="G280" s="306"/>
      <c r="H280" s="307"/>
      <c r="I280" s="306"/>
      <c r="J280" s="308"/>
      <c r="K280" s="304"/>
      <c r="L280" s="305"/>
      <c r="M280" s="305"/>
      <c r="N280" s="306"/>
      <c r="O280" s="306"/>
      <c r="P280" s="307"/>
      <c r="Q280" s="306"/>
      <c r="R280" s="328"/>
    </row>
    <row r="281" spans="1:18">
      <c r="A281" s="309"/>
      <c r="B281" s="431"/>
      <c r="C281" s="310"/>
      <c r="D281" s="311"/>
      <c r="E281" s="312"/>
      <c r="F281" s="312"/>
      <c r="G281" s="312"/>
      <c r="H281" s="313"/>
      <c r="I281" s="312"/>
      <c r="J281" s="302"/>
      <c r="K281" s="310"/>
      <c r="L281" s="311"/>
      <c r="M281" s="311"/>
      <c r="N281" s="312"/>
      <c r="O281" s="312"/>
      <c r="P281" s="313"/>
      <c r="Q281" s="312"/>
      <c r="R281" s="327"/>
    </row>
    <row r="282" spans="1:18">
      <c r="A282" s="303"/>
      <c r="B282" s="430"/>
      <c r="C282" s="304"/>
      <c r="D282" s="305"/>
      <c r="E282" s="306"/>
      <c r="F282" s="306"/>
      <c r="G282" s="306"/>
      <c r="H282" s="307"/>
      <c r="I282" s="306"/>
      <c r="J282" s="308"/>
      <c r="K282" s="304"/>
      <c r="L282" s="305"/>
      <c r="M282" s="305"/>
      <c r="N282" s="306"/>
      <c r="O282" s="306"/>
      <c r="P282" s="307"/>
      <c r="Q282" s="306"/>
      <c r="R282" s="328"/>
    </row>
    <row r="283" spans="1:18">
      <c r="A283" s="309"/>
      <c r="B283" s="431"/>
      <c r="C283" s="310"/>
      <c r="D283" s="311"/>
      <c r="E283" s="312"/>
      <c r="F283" s="312"/>
      <c r="G283" s="312"/>
      <c r="H283" s="313"/>
      <c r="I283" s="312"/>
      <c r="J283" s="302"/>
      <c r="K283" s="310"/>
      <c r="L283" s="311"/>
      <c r="M283" s="311"/>
      <c r="N283" s="312"/>
      <c r="O283" s="312"/>
      <c r="P283" s="313"/>
      <c r="Q283" s="312"/>
      <c r="R283" s="327"/>
    </row>
    <row r="284" spans="1:18">
      <c r="A284" s="303"/>
      <c r="B284" s="430"/>
      <c r="C284" s="304"/>
      <c r="D284" s="305"/>
      <c r="E284" s="306"/>
      <c r="F284" s="306"/>
      <c r="G284" s="306"/>
      <c r="H284" s="307"/>
      <c r="I284" s="306"/>
      <c r="J284" s="308"/>
      <c r="K284" s="304"/>
      <c r="L284" s="305"/>
      <c r="M284" s="305"/>
      <c r="N284" s="306"/>
      <c r="O284" s="306"/>
      <c r="P284" s="307"/>
      <c r="Q284" s="306"/>
      <c r="R284" s="328"/>
    </row>
    <row r="285" spans="1:18">
      <c r="A285" s="309"/>
      <c r="B285" s="431"/>
      <c r="C285" s="310"/>
      <c r="D285" s="311"/>
      <c r="E285" s="312"/>
      <c r="F285" s="312"/>
      <c r="G285" s="312"/>
      <c r="H285" s="313"/>
      <c r="I285" s="312"/>
      <c r="J285" s="302"/>
      <c r="K285" s="310"/>
      <c r="L285" s="311"/>
      <c r="M285" s="311"/>
      <c r="N285" s="312"/>
      <c r="O285" s="312"/>
      <c r="P285" s="313"/>
      <c r="Q285" s="312"/>
      <c r="R285" s="327"/>
    </row>
    <row r="286" spans="1:18">
      <c r="A286" s="303"/>
      <c r="B286" s="430"/>
      <c r="C286" s="304"/>
      <c r="D286" s="305"/>
      <c r="E286" s="306"/>
      <c r="F286" s="306"/>
      <c r="G286" s="306"/>
      <c r="H286" s="307"/>
      <c r="I286" s="306"/>
      <c r="J286" s="308"/>
      <c r="K286" s="304"/>
      <c r="L286" s="305"/>
      <c r="M286" s="305"/>
      <c r="N286" s="306"/>
      <c r="O286" s="306"/>
      <c r="P286" s="307"/>
      <c r="Q286" s="306"/>
      <c r="R286" s="328"/>
    </row>
    <row r="287" spans="1:18">
      <c r="A287" s="309"/>
      <c r="B287" s="431"/>
      <c r="C287" s="310"/>
      <c r="D287" s="311"/>
      <c r="E287" s="312"/>
      <c r="F287" s="312"/>
      <c r="G287" s="312"/>
      <c r="H287" s="313"/>
      <c r="I287" s="312"/>
      <c r="J287" s="302"/>
      <c r="K287" s="310"/>
      <c r="L287" s="311"/>
      <c r="M287" s="311"/>
      <c r="N287" s="312"/>
      <c r="O287" s="312"/>
      <c r="P287" s="313"/>
      <c r="Q287" s="312"/>
      <c r="R287" s="327"/>
    </row>
    <row r="288" spans="1:18">
      <c r="A288" s="303"/>
      <c r="B288" s="430"/>
      <c r="C288" s="304"/>
      <c r="D288" s="305"/>
      <c r="E288" s="306"/>
      <c r="F288" s="306"/>
      <c r="G288" s="306"/>
      <c r="H288" s="307"/>
      <c r="I288" s="306"/>
      <c r="J288" s="308"/>
      <c r="K288" s="304"/>
      <c r="L288" s="305"/>
      <c r="M288" s="305"/>
      <c r="N288" s="306"/>
      <c r="O288" s="306"/>
      <c r="P288" s="307"/>
      <c r="Q288" s="306"/>
      <c r="R288" s="328"/>
    </row>
    <row r="289" spans="1:18">
      <c r="A289" s="309"/>
      <c r="B289" s="431"/>
      <c r="C289" s="310"/>
      <c r="D289" s="311"/>
      <c r="E289" s="312"/>
      <c r="F289" s="312"/>
      <c r="G289" s="312"/>
      <c r="H289" s="313"/>
      <c r="I289" s="312"/>
      <c r="J289" s="302"/>
      <c r="K289" s="310"/>
      <c r="L289" s="311"/>
      <c r="M289" s="311"/>
      <c r="N289" s="312"/>
      <c r="O289" s="312"/>
      <c r="P289" s="313"/>
      <c r="Q289" s="312"/>
      <c r="R289" s="327"/>
    </row>
    <row r="290" spans="1:18">
      <c r="A290" s="303"/>
      <c r="B290" s="430"/>
      <c r="C290" s="304"/>
      <c r="D290" s="305"/>
      <c r="E290" s="306"/>
      <c r="F290" s="306"/>
      <c r="G290" s="306"/>
      <c r="H290" s="307"/>
      <c r="I290" s="306"/>
      <c r="J290" s="308"/>
      <c r="K290" s="304"/>
      <c r="L290" s="305"/>
      <c r="M290" s="305"/>
      <c r="N290" s="306"/>
      <c r="O290" s="306"/>
      <c r="P290" s="307"/>
      <c r="Q290" s="306"/>
      <c r="R290" s="328"/>
    </row>
    <row r="291" spans="1:18">
      <c r="A291" s="309"/>
      <c r="B291" s="431"/>
      <c r="C291" s="310"/>
      <c r="D291" s="311"/>
      <c r="E291" s="312"/>
      <c r="F291" s="312"/>
      <c r="G291" s="312"/>
      <c r="H291" s="313"/>
      <c r="I291" s="312"/>
      <c r="J291" s="302"/>
      <c r="K291" s="310"/>
      <c r="L291" s="311"/>
      <c r="M291" s="311"/>
      <c r="N291" s="312"/>
      <c r="O291" s="312"/>
      <c r="P291" s="313"/>
      <c r="Q291" s="312"/>
      <c r="R291" s="327"/>
    </row>
    <row r="292" spans="1:18">
      <c r="A292" s="303"/>
      <c r="B292" s="430"/>
      <c r="C292" s="304"/>
      <c r="D292" s="305"/>
      <c r="E292" s="306"/>
      <c r="F292" s="306"/>
      <c r="G292" s="306"/>
      <c r="H292" s="307"/>
      <c r="I292" s="306"/>
      <c r="J292" s="308"/>
      <c r="K292" s="304"/>
      <c r="L292" s="305"/>
      <c r="M292" s="305"/>
      <c r="N292" s="306"/>
      <c r="O292" s="306"/>
      <c r="P292" s="307"/>
      <c r="Q292" s="306"/>
      <c r="R292" s="328"/>
    </row>
    <row r="293" spans="1:18">
      <c r="A293" s="309"/>
      <c r="B293" s="431"/>
      <c r="C293" s="310"/>
      <c r="D293" s="311"/>
      <c r="E293" s="312"/>
      <c r="F293" s="312"/>
      <c r="G293" s="312"/>
      <c r="H293" s="313"/>
      <c r="I293" s="312"/>
      <c r="J293" s="302"/>
      <c r="K293" s="310"/>
      <c r="L293" s="311"/>
      <c r="M293" s="311"/>
      <c r="N293" s="312"/>
      <c r="O293" s="312"/>
      <c r="P293" s="313"/>
      <c r="Q293" s="312"/>
      <c r="R293" s="327"/>
    </row>
    <row r="294" spans="1:18">
      <c r="A294" s="303"/>
      <c r="B294" s="430"/>
      <c r="C294" s="304"/>
      <c r="D294" s="305"/>
      <c r="E294" s="306"/>
      <c r="F294" s="306"/>
      <c r="G294" s="306"/>
      <c r="H294" s="307"/>
      <c r="I294" s="306"/>
      <c r="J294" s="308"/>
      <c r="K294" s="304"/>
      <c r="L294" s="305"/>
      <c r="M294" s="305"/>
      <c r="N294" s="306"/>
      <c r="O294" s="306"/>
      <c r="P294" s="307"/>
      <c r="Q294" s="306"/>
      <c r="R294" s="328"/>
    </row>
    <row r="295" spans="1:18">
      <c r="A295" s="309"/>
      <c r="B295" s="431"/>
      <c r="C295" s="310"/>
      <c r="D295" s="311"/>
      <c r="E295" s="312"/>
      <c r="F295" s="312"/>
      <c r="G295" s="312"/>
      <c r="H295" s="313"/>
      <c r="I295" s="312"/>
      <c r="J295" s="302"/>
      <c r="K295" s="310"/>
      <c r="L295" s="311"/>
      <c r="M295" s="311"/>
      <c r="N295" s="312"/>
      <c r="O295" s="312"/>
      <c r="P295" s="313"/>
      <c r="Q295" s="312"/>
      <c r="R295" s="327"/>
    </row>
    <row r="296" spans="1:18">
      <c r="A296" s="303"/>
      <c r="B296" s="430"/>
      <c r="C296" s="304"/>
      <c r="D296" s="305"/>
      <c r="E296" s="306"/>
      <c r="F296" s="306"/>
      <c r="G296" s="306"/>
      <c r="H296" s="307"/>
      <c r="I296" s="306"/>
      <c r="J296" s="308"/>
      <c r="K296" s="304"/>
      <c r="L296" s="305"/>
      <c r="M296" s="305"/>
      <c r="N296" s="306"/>
      <c r="O296" s="306"/>
      <c r="P296" s="307"/>
      <c r="Q296" s="306"/>
      <c r="R296" s="328"/>
    </row>
    <row r="297" spans="1:18">
      <c r="A297" s="309"/>
      <c r="B297" s="431"/>
      <c r="C297" s="310"/>
      <c r="D297" s="311"/>
      <c r="E297" s="312"/>
      <c r="F297" s="312"/>
      <c r="G297" s="312"/>
      <c r="H297" s="313"/>
      <c r="I297" s="312"/>
      <c r="J297" s="302"/>
      <c r="K297" s="310"/>
      <c r="L297" s="311"/>
      <c r="M297" s="311"/>
      <c r="N297" s="312"/>
      <c r="O297" s="312"/>
      <c r="P297" s="313"/>
      <c r="Q297" s="312"/>
      <c r="R297" s="327"/>
    </row>
    <row r="298" spans="1:18">
      <c r="A298" s="303"/>
      <c r="B298" s="430"/>
      <c r="C298" s="304"/>
      <c r="D298" s="305"/>
      <c r="E298" s="306"/>
      <c r="F298" s="306"/>
      <c r="G298" s="306"/>
      <c r="H298" s="307"/>
      <c r="I298" s="306"/>
      <c r="J298" s="308"/>
      <c r="K298" s="304"/>
      <c r="L298" s="305"/>
      <c r="M298" s="305"/>
      <c r="N298" s="306"/>
      <c r="O298" s="306"/>
      <c r="P298" s="307"/>
      <c r="Q298" s="306"/>
      <c r="R298" s="328"/>
    </row>
    <row r="299" spans="1:18">
      <c r="A299" s="309"/>
      <c r="B299" s="431"/>
      <c r="C299" s="310"/>
      <c r="D299" s="311"/>
      <c r="E299" s="312"/>
      <c r="F299" s="312"/>
      <c r="G299" s="312"/>
      <c r="H299" s="313"/>
      <c r="I299" s="312"/>
      <c r="J299" s="302"/>
      <c r="K299" s="310"/>
      <c r="L299" s="311"/>
      <c r="M299" s="311"/>
      <c r="N299" s="312"/>
      <c r="O299" s="312"/>
      <c r="P299" s="313"/>
      <c r="Q299" s="312"/>
      <c r="R299" s="327"/>
    </row>
    <row r="300" spans="1:18">
      <c r="A300" s="303"/>
      <c r="B300" s="430"/>
      <c r="C300" s="304"/>
      <c r="D300" s="305"/>
      <c r="E300" s="306"/>
      <c r="F300" s="306"/>
      <c r="G300" s="306"/>
      <c r="H300" s="307"/>
      <c r="I300" s="306"/>
      <c r="J300" s="308"/>
      <c r="K300" s="304"/>
      <c r="L300" s="305"/>
      <c r="M300" s="305"/>
      <c r="N300" s="306"/>
      <c r="O300" s="306"/>
      <c r="P300" s="307"/>
      <c r="Q300" s="306"/>
      <c r="R300" s="328"/>
    </row>
    <row r="301" spans="1:18">
      <c r="A301" s="309"/>
      <c r="B301" s="431"/>
      <c r="C301" s="310"/>
      <c r="D301" s="311"/>
      <c r="E301" s="312"/>
      <c r="F301" s="312"/>
      <c r="G301" s="312"/>
      <c r="H301" s="313"/>
      <c r="I301" s="312"/>
      <c r="J301" s="302"/>
      <c r="K301" s="310"/>
      <c r="L301" s="311"/>
      <c r="M301" s="311"/>
      <c r="N301" s="312"/>
      <c r="O301" s="312"/>
      <c r="P301" s="313"/>
      <c r="Q301" s="312"/>
      <c r="R301" s="327"/>
    </row>
    <row r="302" spans="1:18">
      <c r="A302" s="303"/>
      <c r="B302" s="430"/>
      <c r="C302" s="304"/>
      <c r="D302" s="305"/>
      <c r="E302" s="306"/>
      <c r="F302" s="306"/>
      <c r="G302" s="306"/>
      <c r="H302" s="307"/>
      <c r="I302" s="306"/>
      <c r="J302" s="308"/>
      <c r="K302" s="304"/>
      <c r="L302" s="305"/>
      <c r="M302" s="305"/>
      <c r="N302" s="306"/>
      <c r="O302" s="306"/>
      <c r="P302" s="307"/>
      <c r="Q302" s="306"/>
      <c r="R302" s="328"/>
    </row>
    <row r="303" spans="1:18">
      <c r="A303" s="309"/>
      <c r="B303" s="431"/>
      <c r="C303" s="310"/>
      <c r="D303" s="311"/>
      <c r="E303" s="312"/>
      <c r="F303" s="312"/>
      <c r="G303" s="312"/>
      <c r="H303" s="313"/>
      <c r="I303" s="312"/>
      <c r="J303" s="302"/>
      <c r="K303" s="310"/>
      <c r="L303" s="311"/>
      <c r="M303" s="311"/>
      <c r="N303" s="312"/>
      <c r="O303" s="312"/>
      <c r="P303" s="313"/>
      <c r="Q303" s="312"/>
      <c r="R303" s="327"/>
    </row>
    <row r="304" spans="1:18">
      <c r="A304" s="303"/>
      <c r="B304" s="430"/>
      <c r="C304" s="304"/>
      <c r="D304" s="305"/>
      <c r="E304" s="306"/>
      <c r="F304" s="306"/>
      <c r="G304" s="306"/>
      <c r="H304" s="307"/>
      <c r="I304" s="306"/>
      <c r="J304" s="308"/>
      <c r="K304" s="304"/>
      <c r="L304" s="305"/>
      <c r="M304" s="305"/>
      <c r="N304" s="306"/>
      <c r="O304" s="306"/>
      <c r="P304" s="307"/>
      <c r="Q304" s="306"/>
      <c r="R304" s="328"/>
    </row>
    <row r="305" spans="1:18">
      <c r="A305" s="309"/>
      <c r="B305" s="431"/>
      <c r="C305" s="310"/>
      <c r="D305" s="311"/>
      <c r="E305" s="312"/>
      <c r="F305" s="312"/>
      <c r="G305" s="312"/>
      <c r="H305" s="313"/>
      <c r="I305" s="312"/>
      <c r="J305" s="302"/>
      <c r="K305" s="310"/>
      <c r="L305" s="311"/>
      <c r="M305" s="311"/>
      <c r="N305" s="312"/>
      <c r="O305" s="312"/>
      <c r="P305" s="313"/>
      <c r="Q305" s="312"/>
      <c r="R305" s="327"/>
    </row>
    <row r="306" spans="1:18">
      <c r="A306" s="303"/>
      <c r="B306" s="430"/>
      <c r="C306" s="304"/>
      <c r="D306" s="305"/>
      <c r="E306" s="306"/>
      <c r="F306" s="306"/>
      <c r="G306" s="306"/>
      <c r="H306" s="307"/>
      <c r="I306" s="306"/>
      <c r="J306" s="308"/>
      <c r="K306" s="304"/>
      <c r="L306" s="305"/>
      <c r="M306" s="305"/>
      <c r="N306" s="306"/>
      <c r="O306" s="306"/>
      <c r="P306" s="307"/>
      <c r="Q306" s="306"/>
      <c r="R306" s="328"/>
    </row>
    <row r="307" spans="1:18">
      <c r="A307" s="309"/>
      <c r="B307" s="431"/>
      <c r="C307" s="310"/>
      <c r="D307" s="311"/>
      <c r="E307" s="312"/>
      <c r="F307" s="312"/>
      <c r="G307" s="312"/>
      <c r="H307" s="313"/>
      <c r="I307" s="312"/>
      <c r="J307" s="302"/>
      <c r="K307" s="310"/>
      <c r="L307" s="311"/>
      <c r="M307" s="311"/>
      <c r="N307" s="312"/>
      <c r="O307" s="312"/>
      <c r="P307" s="313"/>
      <c r="Q307" s="312"/>
      <c r="R307" s="327"/>
    </row>
    <row r="308" spans="1:18">
      <c r="A308" s="303"/>
      <c r="B308" s="430"/>
      <c r="C308" s="304"/>
      <c r="D308" s="305"/>
      <c r="E308" s="306"/>
      <c r="F308" s="306"/>
      <c r="G308" s="306"/>
      <c r="H308" s="307"/>
      <c r="I308" s="306"/>
      <c r="J308" s="308"/>
      <c r="K308" s="304"/>
      <c r="L308" s="305"/>
      <c r="M308" s="305"/>
      <c r="N308" s="306"/>
      <c r="O308" s="306"/>
      <c r="P308" s="307"/>
      <c r="Q308" s="306"/>
      <c r="R308" s="328"/>
    </row>
    <row r="309" spans="1:18">
      <c r="A309" s="309"/>
      <c r="B309" s="431"/>
      <c r="C309" s="310"/>
      <c r="D309" s="311"/>
      <c r="E309" s="312"/>
      <c r="F309" s="312"/>
      <c r="G309" s="312"/>
      <c r="H309" s="313"/>
      <c r="I309" s="312"/>
      <c r="J309" s="302"/>
      <c r="K309" s="310"/>
      <c r="L309" s="311"/>
      <c r="M309" s="311"/>
      <c r="N309" s="312"/>
      <c r="O309" s="312"/>
      <c r="P309" s="313"/>
      <c r="Q309" s="312"/>
      <c r="R309" s="327"/>
    </row>
    <row r="310" spans="1:18">
      <c r="A310" s="303"/>
      <c r="B310" s="430"/>
      <c r="C310" s="304"/>
      <c r="D310" s="305"/>
      <c r="E310" s="306"/>
      <c r="F310" s="306"/>
      <c r="G310" s="306"/>
      <c r="H310" s="307"/>
      <c r="I310" s="306"/>
      <c r="J310" s="308"/>
      <c r="K310" s="304"/>
      <c r="L310" s="305"/>
      <c r="M310" s="305"/>
      <c r="N310" s="306"/>
      <c r="O310" s="306"/>
      <c r="P310" s="307"/>
      <c r="Q310" s="306"/>
      <c r="R310" s="328"/>
    </row>
    <row r="311" spans="1:18">
      <c r="A311" s="309"/>
      <c r="B311" s="431"/>
      <c r="C311" s="310"/>
      <c r="D311" s="311"/>
      <c r="E311" s="312"/>
      <c r="F311" s="312"/>
      <c r="G311" s="312"/>
      <c r="H311" s="313"/>
      <c r="I311" s="312"/>
      <c r="J311" s="302"/>
      <c r="K311" s="310"/>
      <c r="L311" s="311"/>
      <c r="M311" s="311"/>
      <c r="N311" s="312"/>
      <c r="O311" s="312"/>
      <c r="P311" s="313"/>
      <c r="Q311" s="312"/>
      <c r="R311" s="327"/>
    </row>
    <row r="312" spans="1:18">
      <c r="A312" s="303"/>
      <c r="B312" s="430"/>
      <c r="C312" s="304"/>
      <c r="D312" s="305"/>
      <c r="E312" s="306"/>
      <c r="F312" s="306"/>
      <c r="G312" s="306"/>
      <c r="H312" s="307"/>
      <c r="I312" s="306"/>
      <c r="J312" s="308"/>
      <c r="K312" s="304"/>
      <c r="L312" s="305"/>
      <c r="M312" s="305"/>
      <c r="N312" s="306"/>
      <c r="O312" s="306"/>
      <c r="P312" s="307"/>
      <c r="Q312" s="306"/>
      <c r="R312" s="328"/>
    </row>
    <row r="313" spans="1:18">
      <c r="A313" s="309"/>
      <c r="B313" s="431"/>
      <c r="C313" s="310"/>
      <c r="D313" s="311"/>
      <c r="E313" s="312"/>
      <c r="F313" s="312"/>
      <c r="G313" s="312"/>
      <c r="H313" s="313"/>
      <c r="I313" s="312"/>
      <c r="J313" s="302"/>
      <c r="K313" s="310"/>
      <c r="L313" s="311"/>
      <c r="M313" s="311"/>
      <c r="N313" s="312"/>
      <c r="O313" s="312"/>
      <c r="P313" s="313"/>
      <c r="Q313" s="312"/>
      <c r="R313" s="327"/>
    </row>
    <row r="314" spans="1:18">
      <c r="A314" s="303"/>
      <c r="B314" s="430"/>
      <c r="C314" s="304"/>
      <c r="D314" s="305"/>
      <c r="E314" s="306"/>
      <c r="F314" s="306"/>
      <c r="G314" s="306"/>
      <c r="H314" s="307"/>
      <c r="I314" s="306"/>
      <c r="J314" s="308"/>
      <c r="K314" s="304"/>
      <c r="L314" s="305"/>
      <c r="M314" s="305"/>
      <c r="N314" s="306"/>
      <c r="O314" s="306"/>
      <c r="P314" s="307"/>
      <c r="Q314" s="306"/>
      <c r="R314" s="328"/>
    </row>
    <row r="315" spans="1:18">
      <c r="A315" s="309"/>
      <c r="B315" s="431"/>
      <c r="C315" s="310"/>
      <c r="D315" s="311"/>
      <c r="E315" s="312"/>
      <c r="F315" s="312"/>
      <c r="G315" s="312"/>
      <c r="H315" s="313"/>
      <c r="I315" s="312"/>
      <c r="J315" s="302"/>
      <c r="K315" s="310"/>
      <c r="L315" s="311"/>
      <c r="M315" s="311"/>
      <c r="N315" s="312"/>
      <c r="O315" s="312"/>
      <c r="P315" s="313"/>
      <c r="Q315" s="312"/>
      <c r="R315" s="327"/>
    </row>
    <row r="316" spans="1:18">
      <c r="A316" s="303"/>
      <c r="B316" s="430"/>
      <c r="C316" s="304"/>
      <c r="D316" s="305"/>
      <c r="E316" s="306"/>
      <c r="F316" s="306"/>
      <c r="G316" s="306"/>
      <c r="H316" s="307"/>
      <c r="I316" s="306"/>
      <c r="J316" s="308"/>
      <c r="K316" s="304"/>
      <c r="L316" s="305"/>
      <c r="M316" s="305"/>
      <c r="N316" s="306"/>
      <c r="O316" s="306"/>
      <c r="P316" s="307"/>
      <c r="Q316" s="306"/>
      <c r="R316" s="328"/>
    </row>
    <row r="317" spans="1:18">
      <c r="A317" s="309"/>
      <c r="B317" s="431"/>
      <c r="C317" s="310"/>
      <c r="D317" s="311"/>
      <c r="E317" s="312"/>
      <c r="F317" s="312"/>
      <c r="G317" s="312"/>
      <c r="H317" s="313"/>
      <c r="I317" s="312"/>
      <c r="J317" s="302"/>
      <c r="K317" s="310"/>
      <c r="L317" s="311"/>
      <c r="M317" s="311"/>
      <c r="N317" s="312"/>
      <c r="O317" s="312"/>
      <c r="P317" s="313"/>
      <c r="Q317" s="312"/>
      <c r="R317" s="327"/>
    </row>
    <row r="318" spans="1:18">
      <c r="A318" s="303"/>
      <c r="B318" s="430"/>
      <c r="C318" s="304"/>
      <c r="D318" s="305"/>
      <c r="E318" s="306"/>
      <c r="F318" s="306"/>
      <c r="G318" s="306"/>
      <c r="H318" s="307"/>
      <c r="I318" s="306"/>
      <c r="J318" s="308"/>
      <c r="K318" s="304"/>
      <c r="L318" s="305"/>
      <c r="M318" s="305"/>
      <c r="N318" s="306"/>
      <c r="O318" s="306"/>
      <c r="P318" s="307"/>
      <c r="Q318" s="306"/>
      <c r="R318" s="328"/>
    </row>
    <row r="319" spans="1:18">
      <c r="A319" s="309"/>
      <c r="B319" s="431"/>
      <c r="C319" s="310"/>
      <c r="D319" s="311"/>
      <c r="E319" s="312"/>
      <c r="F319" s="312"/>
      <c r="G319" s="312"/>
      <c r="H319" s="313"/>
      <c r="I319" s="312"/>
      <c r="J319" s="302"/>
      <c r="K319" s="310"/>
      <c r="L319" s="311"/>
      <c r="M319" s="311"/>
      <c r="N319" s="312"/>
      <c r="O319" s="312"/>
      <c r="P319" s="313"/>
      <c r="Q319" s="312"/>
      <c r="R319" s="327"/>
    </row>
    <row r="320" spans="1:18">
      <c r="A320" s="303"/>
      <c r="B320" s="430"/>
      <c r="C320" s="304"/>
      <c r="D320" s="305"/>
      <c r="E320" s="306"/>
      <c r="F320" s="306"/>
      <c r="G320" s="306"/>
      <c r="H320" s="307"/>
      <c r="I320" s="306"/>
      <c r="J320" s="308"/>
      <c r="K320" s="304"/>
      <c r="L320" s="305"/>
      <c r="M320" s="305"/>
      <c r="N320" s="306"/>
      <c r="O320" s="306"/>
      <c r="P320" s="307"/>
      <c r="Q320" s="306"/>
      <c r="R320" s="328"/>
    </row>
    <row r="321" spans="1:18">
      <c r="A321" s="309"/>
      <c r="B321" s="431"/>
      <c r="C321" s="310"/>
      <c r="D321" s="311"/>
      <c r="E321" s="312"/>
      <c r="F321" s="312"/>
      <c r="G321" s="312"/>
      <c r="H321" s="313"/>
      <c r="I321" s="312"/>
      <c r="J321" s="302"/>
      <c r="K321" s="310"/>
      <c r="L321" s="311"/>
      <c r="M321" s="311"/>
      <c r="N321" s="312"/>
      <c r="O321" s="312"/>
      <c r="P321" s="313"/>
      <c r="Q321" s="312"/>
      <c r="R321" s="327"/>
    </row>
    <row r="322" spans="1:18">
      <c r="A322" s="303"/>
      <c r="B322" s="430"/>
      <c r="C322" s="304"/>
      <c r="D322" s="305"/>
      <c r="E322" s="306"/>
      <c r="F322" s="306"/>
      <c r="G322" s="306"/>
      <c r="H322" s="307"/>
      <c r="I322" s="306"/>
      <c r="J322" s="308"/>
      <c r="K322" s="304"/>
      <c r="L322" s="305"/>
      <c r="M322" s="305"/>
      <c r="N322" s="306"/>
      <c r="O322" s="306"/>
      <c r="P322" s="307"/>
      <c r="Q322" s="306"/>
      <c r="R322" s="328"/>
    </row>
    <row r="323" spans="1:18">
      <c r="A323" s="309"/>
      <c r="B323" s="431"/>
      <c r="C323" s="310"/>
      <c r="D323" s="311"/>
      <c r="E323" s="312"/>
      <c r="F323" s="312"/>
      <c r="G323" s="312"/>
      <c r="H323" s="313"/>
      <c r="I323" s="312"/>
      <c r="J323" s="302"/>
      <c r="K323" s="310"/>
      <c r="L323" s="311"/>
      <c r="M323" s="311"/>
      <c r="N323" s="312"/>
      <c r="O323" s="312"/>
      <c r="P323" s="313"/>
      <c r="Q323" s="312"/>
      <c r="R323" s="327"/>
    </row>
    <row r="324" spans="1:18">
      <c r="A324" s="303"/>
      <c r="B324" s="430"/>
      <c r="C324" s="304"/>
      <c r="D324" s="305"/>
      <c r="E324" s="306"/>
      <c r="F324" s="306"/>
      <c r="G324" s="306"/>
      <c r="H324" s="307"/>
      <c r="I324" s="306"/>
      <c r="J324" s="308"/>
      <c r="K324" s="304"/>
      <c r="L324" s="305"/>
      <c r="M324" s="305"/>
      <c r="N324" s="306"/>
      <c r="O324" s="306"/>
      <c r="P324" s="307"/>
      <c r="Q324" s="306"/>
      <c r="R324" s="328"/>
    </row>
    <row r="325" spans="1:18">
      <c r="A325" s="309"/>
      <c r="B325" s="431"/>
      <c r="C325" s="310"/>
      <c r="D325" s="311"/>
      <c r="E325" s="312"/>
      <c r="F325" s="312"/>
      <c r="G325" s="312"/>
      <c r="H325" s="313"/>
      <c r="I325" s="312"/>
      <c r="J325" s="302"/>
      <c r="K325" s="310"/>
      <c r="L325" s="311"/>
      <c r="M325" s="311"/>
      <c r="N325" s="312"/>
      <c r="O325" s="312"/>
      <c r="P325" s="313"/>
      <c r="Q325" s="312"/>
      <c r="R325" s="327"/>
    </row>
    <row r="326" spans="1:18">
      <c r="A326" s="303"/>
      <c r="B326" s="430"/>
      <c r="C326" s="304"/>
      <c r="D326" s="305"/>
      <c r="E326" s="306"/>
      <c r="F326" s="306"/>
      <c r="G326" s="306"/>
      <c r="H326" s="307"/>
      <c r="I326" s="306"/>
      <c r="J326" s="308"/>
      <c r="K326" s="304"/>
      <c r="L326" s="305"/>
      <c r="M326" s="305"/>
      <c r="N326" s="306"/>
      <c r="O326" s="306"/>
      <c r="P326" s="307"/>
      <c r="Q326" s="306"/>
      <c r="R326" s="328"/>
    </row>
    <row r="327" spans="1:18">
      <c r="A327" s="309"/>
      <c r="B327" s="431"/>
      <c r="C327" s="310"/>
      <c r="D327" s="311"/>
      <c r="E327" s="312"/>
      <c r="F327" s="312"/>
      <c r="G327" s="312"/>
      <c r="H327" s="313"/>
      <c r="I327" s="312"/>
      <c r="J327" s="302"/>
      <c r="K327" s="310"/>
      <c r="L327" s="311"/>
      <c r="M327" s="311"/>
      <c r="N327" s="312"/>
      <c r="O327" s="312"/>
      <c r="P327" s="313"/>
      <c r="Q327" s="312"/>
      <c r="R327" s="327"/>
    </row>
    <row r="328" spans="1:18">
      <c r="A328" s="303"/>
      <c r="B328" s="430"/>
      <c r="C328" s="304"/>
      <c r="D328" s="305"/>
      <c r="E328" s="306"/>
      <c r="F328" s="306"/>
      <c r="G328" s="306"/>
      <c r="H328" s="307"/>
      <c r="I328" s="306"/>
      <c r="J328" s="308"/>
      <c r="K328" s="304"/>
      <c r="L328" s="305"/>
      <c r="M328" s="305"/>
      <c r="N328" s="306"/>
      <c r="O328" s="306"/>
      <c r="P328" s="307"/>
      <c r="Q328" s="306"/>
      <c r="R328" s="328"/>
    </row>
    <row r="329" spans="1:18">
      <c r="A329" s="309"/>
      <c r="B329" s="431"/>
      <c r="C329" s="310"/>
      <c r="D329" s="311"/>
      <c r="E329" s="312"/>
      <c r="F329" s="312"/>
      <c r="G329" s="312"/>
      <c r="H329" s="313"/>
      <c r="I329" s="312"/>
      <c r="J329" s="302"/>
      <c r="K329" s="310"/>
      <c r="L329" s="311"/>
      <c r="M329" s="311"/>
      <c r="N329" s="312"/>
      <c r="O329" s="312"/>
      <c r="P329" s="313"/>
      <c r="Q329" s="312"/>
      <c r="R329" s="327"/>
    </row>
    <row r="330" spans="1:18">
      <c r="A330" s="303"/>
      <c r="B330" s="430"/>
      <c r="C330" s="304"/>
      <c r="D330" s="305"/>
      <c r="E330" s="306"/>
      <c r="F330" s="306"/>
      <c r="G330" s="306"/>
      <c r="H330" s="307"/>
      <c r="I330" s="306"/>
      <c r="J330" s="308"/>
      <c r="K330" s="304"/>
      <c r="L330" s="305"/>
      <c r="M330" s="305"/>
      <c r="N330" s="306"/>
      <c r="O330" s="306"/>
      <c r="P330" s="307"/>
      <c r="Q330" s="306"/>
      <c r="R330" s="328"/>
    </row>
    <row r="331" spans="1:18">
      <c r="A331" s="309"/>
      <c r="B331" s="431"/>
      <c r="C331" s="310"/>
      <c r="D331" s="311"/>
      <c r="E331" s="312"/>
      <c r="F331" s="312"/>
      <c r="G331" s="312"/>
      <c r="H331" s="313"/>
      <c r="I331" s="312"/>
      <c r="J331" s="302"/>
      <c r="K331" s="310"/>
      <c r="L331" s="311"/>
      <c r="M331" s="311"/>
      <c r="N331" s="312"/>
      <c r="O331" s="312"/>
      <c r="P331" s="313"/>
      <c r="Q331" s="312"/>
      <c r="R331" s="327"/>
    </row>
    <row r="332" spans="1:18">
      <c r="A332" s="303"/>
      <c r="B332" s="430"/>
      <c r="C332" s="304"/>
      <c r="D332" s="305"/>
      <c r="E332" s="306"/>
      <c r="F332" s="306"/>
      <c r="G332" s="306"/>
      <c r="H332" s="307"/>
      <c r="I332" s="306"/>
      <c r="J332" s="308"/>
      <c r="K332" s="304"/>
      <c r="L332" s="305"/>
      <c r="M332" s="305"/>
      <c r="N332" s="306"/>
      <c r="O332" s="306"/>
      <c r="P332" s="307"/>
      <c r="Q332" s="306"/>
      <c r="R332" s="328"/>
    </row>
    <row r="333" spans="1:18">
      <c r="A333" s="309"/>
      <c r="B333" s="431"/>
      <c r="C333" s="310"/>
      <c r="D333" s="311"/>
      <c r="E333" s="312"/>
      <c r="F333" s="312"/>
      <c r="G333" s="312"/>
      <c r="H333" s="313"/>
      <c r="I333" s="312"/>
      <c r="J333" s="302"/>
      <c r="K333" s="310"/>
      <c r="L333" s="311"/>
      <c r="M333" s="311"/>
      <c r="N333" s="312"/>
      <c r="O333" s="312"/>
      <c r="P333" s="313"/>
      <c r="Q333" s="312"/>
      <c r="R333" s="327"/>
    </row>
    <row r="334" spans="1:18">
      <c r="A334" s="303"/>
      <c r="B334" s="430"/>
      <c r="C334" s="304"/>
      <c r="D334" s="305"/>
      <c r="E334" s="306"/>
      <c r="F334" s="306"/>
      <c r="G334" s="306"/>
      <c r="H334" s="307"/>
      <c r="I334" s="306"/>
      <c r="J334" s="308"/>
      <c r="K334" s="304"/>
      <c r="L334" s="305"/>
      <c r="M334" s="305"/>
      <c r="N334" s="306"/>
      <c r="O334" s="306"/>
      <c r="P334" s="307"/>
      <c r="Q334" s="306"/>
      <c r="R334" s="328"/>
    </row>
    <row r="335" spans="1:18">
      <c r="A335" s="309"/>
      <c r="B335" s="431"/>
      <c r="C335" s="310"/>
      <c r="D335" s="311"/>
      <c r="E335" s="312"/>
      <c r="F335" s="312"/>
      <c r="G335" s="312"/>
      <c r="H335" s="313"/>
      <c r="I335" s="312"/>
      <c r="J335" s="302"/>
      <c r="K335" s="310"/>
      <c r="L335" s="311"/>
      <c r="M335" s="311"/>
      <c r="N335" s="312"/>
      <c r="O335" s="312"/>
      <c r="P335" s="313"/>
      <c r="Q335" s="312"/>
      <c r="R335" s="327"/>
    </row>
    <row r="336" spans="1:18">
      <c r="A336" s="303"/>
      <c r="B336" s="430"/>
      <c r="C336" s="304"/>
      <c r="D336" s="305"/>
      <c r="E336" s="306"/>
      <c r="F336" s="306"/>
      <c r="G336" s="306"/>
      <c r="H336" s="307"/>
      <c r="I336" s="306"/>
      <c r="J336" s="308"/>
      <c r="K336" s="304"/>
      <c r="L336" s="305"/>
      <c r="M336" s="305"/>
      <c r="N336" s="306"/>
      <c r="O336" s="306"/>
      <c r="P336" s="307"/>
      <c r="Q336" s="306"/>
      <c r="R336" s="328"/>
    </row>
    <row r="337" spans="1:18">
      <c r="A337" s="309"/>
      <c r="B337" s="431"/>
      <c r="C337" s="310"/>
      <c r="D337" s="311"/>
      <c r="E337" s="312"/>
      <c r="F337" s="312"/>
      <c r="G337" s="312"/>
      <c r="H337" s="313"/>
      <c r="I337" s="312"/>
      <c r="J337" s="302"/>
      <c r="K337" s="310"/>
      <c r="L337" s="311"/>
      <c r="M337" s="311"/>
      <c r="N337" s="312"/>
      <c r="O337" s="312"/>
      <c r="P337" s="313"/>
      <c r="Q337" s="312"/>
      <c r="R337" s="327"/>
    </row>
    <row r="338" spans="1:18">
      <c r="A338" s="303"/>
      <c r="B338" s="430"/>
      <c r="C338" s="304"/>
      <c r="D338" s="305"/>
      <c r="E338" s="306"/>
      <c r="F338" s="306"/>
      <c r="G338" s="306"/>
      <c r="H338" s="307"/>
      <c r="I338" s="306"/>
      <c r="J338" s="308"/>
      <c r="K338" s="304"/>
      <c r="L338" s="305"/>
      <c r="M338" s="305"/>
      <c r="N338" s="306"/>
      <c r="O338" s="306"/>
      <c r="P338" s="307"/>
      <c r="Q338" s="306"/>
      <c r="R338" s="328"/>
    </row>
    <row r="339" spans="1:18">
      <c r="A339" s="309"/>
      <c r="B339" s="431"/>
      <c r="C339" s="310"/>
      <c r="D339" s="311"/>
      <c r="E339" s="312"/>
      <c r="F339" s="312"/>
      <c r="G339" s="312"/>
      <c r="H339" s="313"/>
      <c r="I339" s="312"/>
      <c r="J339" s="302"/>
      <c r="K339" s="310"/>
      <c r="L339" s="311"/>
      <c r="M339" s="311"/>
      <c r="N339" s="312"/>
      <c r="O339" s="312"/>
      <c r="P339" s="313"/>
      <c r="Q339" s="312"/>
      <c r="R339" s="327"/>
    </row>
    <row r="340" spans="1:18">
      <c r="A340" s="303"/>
      <c r="B340" s="430"/>
      <c r="C340" s="304"/>
      <c r="D340" s="305"/>
      <c r="E340" s="306"/>
      <c r="F340" s="306"/>
      <c r="G340" s="306"/>
      <c r="H340" s="307"/>
      <c r="I340" s="306"/>
      <c r="J340" s="308"/>
      <c r="K340" s="304"/>
      <c r="L340" s="305"/>
      <c r="M340" s="305"/>
      <c r="N340" s="306"/>
      <c r="O340" s="306"/>
      <c r="P340" s="307"/>
      <c r="Q340" s="306"/>
      <c r="R340" s="328"/>
    </row>
    <row r="341" spans="1:18">
      <c r="A341" s="309"/>
      <c r="B341" s="431"/>
      <c r="C341" s="310"/>
      <c r="D341" s="311"/>
      <c r="E341" s="312"/>
      <c r="F341" s="312"/>
      <c r="G341" s="312"/>
      <c r="H341" s="313"/>
      <c r="I341" s="312"/>
      <c r="J341" s="302"/>
      <c r="K341" s="310"/>
      <c r="L341" s="311"/>
      <c r="M341" s="311"/>
      <c r="N341" s="312"/>
      <c r="O341" s="312"/>
      <c r="P341" s="313"/>
      <c r="Q341" s="312"/>
      <c r="R341" s="327"/>
    </row>
    <row r="342" spans="1:18">
      <c r="A342" s="303"/>
      <c r="B342" s="430"/>
      <c r="C342" s="304"/>
      <c r="D342" s="305"/>
      <c r="E342" s="306"/>
      <c r="F342" s="306"/>
      <c r="G342" s="306"/>
      <c r="H342" s="307"/>
      <c r="I342" s="306"/>
      <c r="J342" s="308"/>
      <c r="K342" s="304"/>
      <c r="L342" s="305"/>
      <c r="M342" s="305"/>
      <c r="N342" s="306"/>
      <c r="O342" s="306"/>
      <c r="P342" s="307"/>
      <c r="Q342" s="306"/>
      <c r="R342" s="328"/>
    </row>
    <row r="343" spans="1:18">
      <c r="A343" s="309"/>
      <c r="B343" s="431"/>
      <c r="C343" s="310"/>
      <c r="D343" s="311"/>
      <c r="E343" s="312"/>
      <c r="F343" s="312"/>
      <c r="G343" s="312"/>
      <c r="H343" s="313"/>
      <c r="I343" s="312"/>
      <c r="J343" s="302"/>
      <c r="K343" s="310"/>
      <c r="L343" s="311"/>
      <c r="M343" s="311"/>
      <c r="N343" s="312"/>
      <c r="O343" s="312"/>
      <c r="P343" s="313"/>
      <c r="Q343" s="312"/>
      <c r="R343" s="327"/>
    </row>
    <row r="344" spans="1:18">
      <c r="A344" s="303"/>
      <c r="B344" s="430"/>
      <c r="C344" s="304"/>
      <c r="D344" s="305"/>
      <c r="E344" s="306"/>
      <c r="F344" s="306"/>
      <c r="G344" s="306"/>
      <c r="H344" s="307"/>
      <c r="I344" s="306"/>
      <c r="J344" s="308"/>
      <c r="K344" s="304"/>
      <c r="L344" s="305"/>
      <c r="M344" s="305"/>
      <c r="N344" s="306"/>
      <c r="O344" s="306"/>
      <c r="P344" s="307"/>
      <c r="Q344" s="306"/>
      <c r="R344" s="328"/>
    </row>
    <row r="345" spans="1:18">
      <c r="A345" s="309"/>
      <c r="B345" s="431"/>
      <c r="C345" s="310"/>
      <c r="D345" s="311"/>
      <c r="E345" s="312"/>
      <c r="F345" s="312"/>
      <c r="G345" s="312"/>
      <c r="H345" s="313"/>
      <c r="I345" s="312"/>
      <c r="J345" s="302"/>
      <c r="K345" s="310"/>
      <c r="L345" s="311"/>
      <c r="M345" s="311"/>
      <c r="N345" s="312"/>
      <c r="O345" s="312"/>
      <c r="P345" s="313"/>
      <c r="Q345" s="312"/>
      <c r="R345" s="327"/>
    </row>
    <row r="346" spans="1:18">
      <c r="A346" s="303"/>
      <c r="B346" s="430"/>
      <c r="C346" s="304"/>
      <c r="D346" s="305"/>
      <c r="E346" s="306"/>
      <c r="F346" s="306"/>
      <c r="G346" s="306"/>
      <c r="H346" s="307"/>
      <c r="I346" s="306"/>
      <c r="J346" s="308"/>
      <c r="K346" s="304"/>
      <c r="L346" s="305"/>
      <c r="M346" s="305"/>
      <c r="N346" s="306"/>
      <c r="O346" s="306"/>
      <c r="P346" s="307"/>
      <c r="Q346" s="306"/>
      <c r="R346" s="328"/>
    </row>
    <row r="347" spans="1:18">
      <c r="A347" s="309"/>
      <c r="B347" s="431"/>
      <c r="C347" s="310"/>
      <c r="D347" s="311"/>
      <c r="E347" s="312"/>
      <c r="F347" s="312"/>
      <c r="G347" s="312"/>
      <c r="H347" s="313"/>
      <c r="I347" s="312"/>
      <c r="J347" s="302"/>
      <c r="K347" s="310"/>
      <c r="L347" s="311"/>
      <c r="M347" s="311"/>
      <c r="N347" s="312"/>
      <c r="O347" s="312"/>
      <c r="P347" s="313"/>
      <c r="Q347" s="312"/>
      <c r="R347" s="327"/>
    </row>
    <row r="348" spans="1:18">
      <c r="A348" s="303"/>
      <c r="B348" s="430"/>
      <c r="C348" s="304"/>
      <c r="D348" s="305"/>
      <c r="E348" s="306"/>
      <c r="F348" s="306"/>
      <c r="G348" s="306"/>
      <c r="H348" s="307"/>
      <c r="I348" s="306"/>
      <c r="J348" s="308"/>
      <c r="K348" s="304"/>
      <c r="L348" s="305"/>
      <c r="M348" s="305"/>
      <c r="N348" s="306"/>
      <c r="O348" s="306"/>
      <c r="P348" s="307"/>
      <c r="Q348" s="306"/>
      <c r="R348" s="328"/>
    </row>
    <row r="349" spans="1:18">
      <c r="A349" s="309"/>
      <c r="B349" s="431"/>
      <c r="C349" s="310"/>
      <c r="D349" s="311"/>
      <c r="E349" s="312"/>
      <c r="F349" s="312"/>
      <c r="G349" s="312"/>
      <c r="H349" s="313"/>
      <c r="I349" s="312"/>
      <c r="J349" s="302"/>
      <c r="K349" s="310"/>
      <c r="L349" s="311"/>
      <c r="M349" s="311"/>
      <c r="N349" s="312"/>
      <c r="O349" s="312"/>
      <c r="P349" s="313"/>
      <c r="Q349" s="312"/>
      <c r="R349" s="327"/>
    </row>
    <row r="350" spans="1:18">
      <c r="A350" s="303"/>
      <c r="B350" s="430"/>
      <c r="C350" s="304"/>
      <c r="D350" s="305"/>
      <c r="E350" s="306"/>
      <c r="F350" s="306"/>
      <c r="G350" s="306"/>
      <c r="H350" s="307"/>
      <c r="I350" s="306"/>
      <c r="J350" s="308"/>
      <c r="K350" s="304"/>
      <c r="L350" s="305"/>
      <c r="M350" s="305"/>
      <c r="N350" s="306"/>
      <c r="O350" s="306"/>
      <c r="P350" s="307"/>
      <c r="Q350" s="306"/>
      <c r="R350" s="328"/>
    </row>
    <row r="351" spans="1:18">
      <c r="A351" s="309"/>
      <c r="B351" s="431"/>
      <c r="C351" s="310"/>
      <c r="D351" s="311"/>
      <c r="E351" s="312"/>
      <c r="F351" s="312"/>
      <c r="G351" s="312"/>
      <c r="H351" s="313"/>
      <c r="I351" s="312"/>
      <c r="J351" s="302"/>
      <c r="K351" s="310"/>
      <c r="L351" s="311"/>
      <c r="M351" s="311"/>
      <c r="N351" s="312"/>
      <c r="O351" s="312"/>
      <c r="P351" s="313"/>
      <c r="Q351" s="312"/>
      <c r="R351" s="327"/>
    </row>
    <row r="352" spans="1:18">
      <c r="A352" s="303"/>
      <c r="B352" s="430"/>
      <c r="C352" s="304"/>
      <c r="D352" s="305"/>
      <c r="E352" s="306"/>
      <c r="F352" s="306"/>
      <c r="G352" s="306"/>
      <c r="H352" s="307"/>
      <c r="I352" s="306"/>
      <c r="J352" s="308"/>
      <c r="K352" s="304"/>
      <c r="L352" s="305"/>
      <c r="M352" s="305"/>
      <c r="N352" s="306"/>
      <c r="O352" s="306"/>
      <c r="P352" s="307"/>
      <c r="Q352" s="306"/>
      <c r="R352" s="328"/>
    </row>
    <row r="353" spans="1:18">
      <c r="A353" s="309"/>
      <c r="B353" s="431"/>
      <c r="C353" s="310"/>
      <c r="D353" s="311"/>
      <c r="E353" s="312"/>
      <c r="F353" s="312"/>
      <c r="G353" s="312"/>
      <c r="H353" s="313"/>
      <c r="I353" s="312"/>
      <c r="J353" s="302"/>
      <c r="K353" s="310"/>
      <c r="L353" s="311"/>
      <c r="M353" s="311"/>
      <c r="N353" s="312"/>
      <c r="O353" s="312"/>
      <c r="P353" s="313"/>
      <c r="Q353" s="312"/>
      <c r="R353" s="327"/>
    </row>
    <row r="354" spans="1:18">
      <c r="A354" s="303"/>
      <c r="B354" s="430"/>
      <c r="C354" s="304"/>
      <c r="D354" s="305"/>
      <c r="E354" s="306"/>
      <c r="F354" s="306"/>
      <c r="G354" s="306"/>
      <c r="H354" s="307"/>
      <c r="I354" s="306"/>
      <c r="J354" s="308"/>
      <c r="K354" s="304"/>
      <c r="L354" s="305"/>
      <c r="M354" s="305"/>
      <c r="N354" s="306"/>
      <c r="O354" s="306"/>
      <c r="P354" s="307"/>
      <c r="Q354" s="306"/>
      <c r="R354" s="328"/>
    </row>
    <row r="355" spans="1:18">
      <c r="A355" s="309"/>
      <c r="B355" s="431"/>
      <c r="C355" s="310"/>
      <c r="D355" s="311"/>
      <c r="E355" s="312"/>
      <c r="F355" s="312"/>
      <c r="G355" s="312"/>
      <c r="H355" s="313"/>
      <c r="I355" s="312"/>
      <c r="J355" s="302"/>
      <c r="K355" s="310"/>
      <c r="L355" s="311"/>
      <c r="M355" s="311"/>
      <c r="N355" s="312"/>
      <c r="O355" s="312"/>
      <c r="P355" s="313"/>
      <c r="Q355" s="312"/>
      <c r="R355" s="327"/>
    </row>
    <row r="356" spans="1:18">
      <c r="A356" s="303"/>
      <c r="B356" s="430"/>
      <c r="C356" s="304"/>
      <c r="D356" s="305"/>
      <c r="E356" s="306"/>
      <c r="F356" s="306"/>
      <c r="G356" s="306"/>
      <c r="H356" s="307"/>
      <c r="I356" s="306"/>
      <c r="J356" s="308"/>
      <c r="K356" s="304"/>
      <c r="L356" s="305"/>
      <c r="M356" s="305"/>
      <c r="N356" s="306"/>
      <c r="O356" s="306"/>
      <c r="P356" s="307"/>
      <c r="Q356" s="306"/>
      <c r="R356" s="328"/>
    </row>
    <row r="357" spans="1:18">
      <c r="A357" s="309"/>
      <c r="B357" s="431"/>
      <c r="C357" s="310"/>
      <c r="D357" s="311"/>
      <c r="E357" s="312"/>
      <c r="F357" s="312"/>
      <c r="G357" s="312"/>
      <c r="H357" s="313"/>
      <c r="I357" s="312"/>
      <c r="J357" s="302"/>
      <c r="K357" s="310"/>
      <c r="L357" s="311"/>
      <c r="M357" s="311"/>
      <c r="N357" s="312"/>
      <c r="O357" s="312"/>
      <c r="P357" s="313"/>
      <c r="Q357" s="312"/>
      <c r="R357" s="327"/>
    </row>
    <row r="358" spans="1:18">
      <c r="A358" s="303"/>
      <c r="B358" s="430"/>
      <c r="C358" s="304"/>
      <c r="D358" s="305"/>
      <c r="E358" s="306"/>
      <c r="F358" s="306"/>
      <c r="G358" s="306"/>
      <c r="H358" s="307"/>
      <c r="I358" s="306"/>
      <c r="J358" s="308"/>
      <c r="K358" s="304"/>
      <c r="L358" s="305"/>
      <c r="M358" s="305"/>
      <c r="N358" s="306"/>
      <c r="O358" s="306"/>
      <c r="P358" s="307"/>
      <c r="Q358" s="306"/>
      <c r="R358" s="328"/>
    </row>
    <row r="359" spans="1:18">
      <c r="A359" s="309"/>
      <c r="B359" s="431"/>
      <c r="C359" s="310"/>
      <c r="D359" s="311"/>
      <c r="E359" s="312"/>
      <c r="F359" s="312"/>
      <c r="G359" s="312"/>
      <c r="H359" s="313"/>
      <c r="I359" s="312"/>
      <c r="J359" s="302"/>
      <c r="K359" s="310"/>
      <c r="L359" s="311"/>
      <c r="M359" s="311"/>
      <c r="N359" s="312"/>
      <c r="O359" s="312"/>
      <c r="P359" s="313"/>
      <c r="Q359" s="312"/>
      <c r="R359" s="327"/>
    </row>
    <row r="360" spans="1:18">
      <c r="A360" s="303"/>
      <c r="B360" s="430"/>
      <c r="C360" s="304"/>
      <c r="D360" s="305"/>
      <c r="E360" s="306"/>
      <c r="F360" s="306"/>
      <c r="G360" s="306"/>
      <c r="H360" s="307"/>
      <c r="I360" s="306"/>
      <c r="J360" s="308"/>
      <c r="K360" s="304"/>
      <c r="L360" s="305"/>
      <c r="M360" s="305"/>
      <c r="N360" s="306"/>
      <c r="O360" s="306"/>
      <c r="P360" s="307"/>
      <c r="Q360" s="306"/>
      <c r="R360" s="328"/>
    </row>
    <row r="361" spans="1:18">
      <c r="A361" s="309"/>
      <c r="B361" s="431"/>
      <c r="C361" s="310"/>
      <c r="D361" s="311"/>
      <c r="E361" s="312"/>
      <c r="F361" s="312"/>
      <c r="G361" s="312"/>
      <c r="H361" s="313"/>
      <c r="I361" s="312"/>
      <c r="J361" s="302"/>
      <c r="K361" s="310"/>
      <c r="L361" s="311"/>
      <c r="M361" s="311"/>
      <c r="N361" s="312"/>
      <c r="O361" s="312"/>
      <c r="P361" s="313"/>
      <c r="Q361" s="312"/>
      <c r="R361" s="327"/>
    </row>
    <row r="362" spans="1:18">
      <c r="A362" s="303"/>
      <c r="B362" s="430"/>
      <c r="C362" s="304"/>
      <c r="D362" s="305"/>
      <c r="E362" s="306"/>
      <c r="F362" s="306"/>
      <c r="G362" s="306"/>
      <c r="H362" s="307"/>
      <c r="I362" s="306"/>
      <c r="J362" s="308"/>
      <c r="K362" s="304"/>
      <c r="L362" s="305"/>
      <c r="M362" s="305"/>
      <c r="N362" s="306"/>
      <c r="O362" s="306"/>
      <c r="P362" s="307"/>
      <c r="Q362" s="306"/>
      <c r="R362" s="328"/>
    </row>
    <row r="363" spans="1:18">
      <c r="A363" s="309"/>
      <c r="B363" s="431"/>
      <c r="C363" s="310"/>
      <c r="D363" s="311"/>
      <c r="E363" s="312"/>
      <c r="F363" s="312"/>
      <c r="G363" s="312"/>
      <c r="H363" s="313"/>
      <c r="I363" s="312"/>
      <c r="J363" s="302"/>
      <c r="K363" s="310"/>
      <c r="L363" s="311"/>
      <c r="M363" s="311"/>
      <c r="N363" s="312"/>
      <c r="O363" s="312"/>
      <c r="P363" s="313"/>
      <c r="Q363" s="312"/>
      <c r="R363" s="327"/>
    </row>
    <row r="364" spans="1:18">
      <c r="A364" s="303"/>
      <c r="B364" s="430"/>
      <c r="C364" s="304"/>
      <c r="D364" s="305"/>
      <c r="E364" s="306"/>
      <c r="F364" s="306"/>
      <c r="G364" s="306"/>
      <c r="H364" s="307"/>
      <c r="I364" s="306"/>
      <c r="J364" s="308"/>
      <c r="K364" s="304"/>
      <c r="L364" s="305"/>
      <c r="M364" s="305"/>
      <c r="N364" s="306"/>
      <c r="O364" s="306"/>
      <c r="P364" s="307"/>
      <c r="Q364" s="306"/>
      <c r="R364" s="328"/>
    </row>
    <row r="365" spans="1:18">
      <c r="A365" s="309"/>
      <c r="B365" s="431"/>
      <c r="C365" s="310"/>
      <c r="D365" s="311"/>
      <c r="E365" s="312"/>
      <c r="F365" s="312"/>
      <c r="G365" s="312"/>
      <c r="H365" s="313"/>
      <c r="I365" s="312"/>
      <c r="J365" s="302"/>
      <c r="K365" s="310"/>
      <c r="L365" s="311"/>
      <c r="M365" s="311"/>
      <c r="N365" s="312"/>
      <c r="O365" s="312"/>
      <c r="P365" s="313"/>
      <c r="Q365" s="312"/>
      <c r="R365" s="327"/>
    </row>
    <row r="366" spans="1:18">
      <c r="A366" s="303"/>
      <c r="B366" s="430"/>
      <c r="C366" s="304"/>
      <c r="D366" s="305"/>
      <c r="E366" s="306"/>
      <c r="F366" s="306"/>
      <c r="G366" s="306"/>
      <c r="H366" s="307"/>
      <c r="I366" s="306"/>
      <c r="J366" s="308"/>
      <c r="K366" s="304"/>
      <c r="L366" s="305"/>
      <c r="M366" s="305"/>
      <c r="N366" s="306"/>
      <c r="O366" s="306"/>
      <c r="P366" s="307"/>
      <c r="Q366" s="306"/>
      <c r="R366" s="328"/>
    </row>
    <row r="367" spans="1:18">
      <c r="A367" s="309"/>
      <c r="B367" s="431"/>
      <c r="C367" s="310"/>
      <c r="D367" s="311"/>
      <c r="E367" s="312"/>
      <c r="F367" s="312"/>
      <c r="G367" s="312"/>
      <c r="H367" s="313"/>
      <c r="I367" s="312"/>
      <c r="J367" s="302"/>
      <c r="K367" s="310"/>
      <c r="L367" s="311"/>
      <c r="M367" s="311"/>
      <c r="N367" s="312"/>
      <c r="O367" s="312"/>
      <c r="P367" s="313"/>
      <c r="Q367" s="312"/>
      <c r="R367" s="327"/>
    </row>
    <row r="368" spans="1:18">
      <c r="A368" s="303"/>
      <c r="B368" s="430"/>
      <c r="C368" s="304"/>
      <c r="D368" s="305"/>
      <c r="E368" s="306"/>
      <c r="F368" s="306"/>
      <c r="G368" s="306"/>
      <c r="H368" s="307"/>
      <c r="I368" s="306"/>
      <c r="J368" s="308"/>
      <c r="K368" s="304"/>
      <c r="L368" s="305"/>
      <c r="M368" s="305"/>
      <c r="N368" s="306"/>
      <c r="O368" s="306"/>
      <c r="P368" s="307"/>
      <c r="Q368" s="306"/>
      <c r="R368" s="328"/>
    </row>
    <row r="369" spans="1:18">
      <c r="A369" s="309"/>
      <c r="B369" s="431"/>
      <c r="C369" s="310"/>
      <c r="D369" s="311"/>
      <c r="E369" s="312"/>
      <c r="F369" s="312"/>
      <c r="G369" s="312"/>
      <c r="H369" s="313"/>
      <c r="I369" s="312"/>
      <c r="J369" s="302"/>
      <c r="K369" s="310"/>
      <c r="L369" s="311"/>
      <c r="M369" s="311"/>
      <c r="N369" s="312"/>
      <c r="O369" s="312"/>
      <c r="P369" s="313"/>
      <c r="Q369" s="312"/>
      <c r="R369" s="327"/>
    </row>
    <row r="370" spans="1:18">
      <c r="A370" s="303"/>
      <c r="B370" s="430"/>
      <c r="C370" s="304"/>
      <c r="D370" s="305"/>
      <c r="E370" s="306"/>
      <c r="F370" s="306"/>
      <c r="G370" s="306"/>
      <c r="H370" s="307"/>
      <c r="I370" s="306"/>
      <c r="J370" s="308"/>
      <c r="K370" s="304"/>
      <c r="L370" s="305"/>
      <c r="M370" s="305"/>
      <c r="N370" s="306"/>
      <c r="O370" s="306"/>
      <c r="P370" s="307"/>
      <c r="Q370" s="306"/>
      <c r="R370" s="328"/>
    </row>
    <row r="371" spans="1:18">
      <c r="A371" s="309"/>
      <c r="B371" s="431"/>
      <c r="C371" s="310"/>
      <c r="D371" s="311"/>
      <c r="E371" s="312"/>
      <c r="F371" s="312"/>
      <c r="G371" s="312"/>
      <c r="H371" s="313"/>
      <c r="I371" s="312"/>
      <c r="J371" s="302"/>
      <c r="K371" s="310"/>
      <c r="L371" s="311"/>
      <c r="M371" s="311"/>
      <c r="N371" s="312"/>
      <c r="O371" s="312"/>
      <c r="P371" s="313"/>
      <c r="Q371" s="312"/>
      <c r="R371" s="327"/>
    </row>
    <row r="372" spans="1:18">
      <c r="A372" s="303"/>
      <c r="B372" s="430"/>
      <c r="C372" s="304"/>
      <c r="D372" s="305"/>
      <c r="E372" s="306"/>
      <c r="F372" s="306"/>
      <c r="G372" s="306"/>
      <c r="H372" s="307"/>
      <c r="I372" s="306"/>
      <c r="J372" s="308"/>
      <c r="K372" s="304"/>
      <c r="L372" s="305"/>
      <c r="M372" s="305"/>
      <c r="N372" s="306"/>
      <c r="O372" s="306"/>
      <c r="P372" s="307"/>
      <c r="Q372" s="306"/>
      <c r="R372" s="328"/>
    </row>
    <row r="373" spans="1:18">
      <c r="A373" s="309"/>
      <c r="B373" s="431"/>
      <c r="C373" s="310"/>
      <c r="D373" s="311"/>
      <c r="E373" s="312"/>
      <c r="F373" s="312"/>
      <c r="G373" s="312"/>
      <c r="H373" s="313"/>
      <c r="I373" s="312"/>
      <c r="J373" s="302"/>
      <c r="K373" s="310"/>
      <c r="L373" s="311"/>
      <c r="M373" s="311"/>
      <c r="N373" s="312"/>
      <c r="O373" s="312"/>
      <c r="P373" s="313"/>
      <c r="Q373" s="312"/>
      <c r="R373" s="327"/>
    </row>
    <row r="374" spans="1:18">
      <c r="A374" s="303"/>
      <c r="B374" s="430"/>
      <c r="C374" s="304"/>
      <c r="D374" s="305"/>
      <c r="E374" s="306"/>
      <c r="F374" s="306"/>
      <c r="G374" s="306"/>
      <c r="H374" s="307"/>
      <c r="I374" s="306"/>
      <c r="J374" s="308"/>
      <c r="K374" s="304"/>
      <c r="L374" s="305"/>
      <c r="M374" s="305"/>
      <c r="N374" s="306"/>
      <c r="O374" s="306"/>
      <c r="P374" s="307"/>
      <c r="Q374" s="306"/>
      <c r="R374" s="328"/>
    </row>
    <row r="375" spans="1:18">
      <c r="A375" s="309"/>
      <c r="B375" s="431"/>
      <c r="C375" s="310"/>
      <c r="D375" s="311"/>
      <c r="E375" s="312"/>
      <c r="F375" s="312"/>
      <c r="G375" s="312"/>
      <c r="H375" s="313"/>
      <c r="I375" s="312"/>
      <c r="J375" s="302"/>
      <c r="K375" s="310"/>
      <c r="L375" s="311"/>
      <c r="M375" s="311"/>
      <c r="N375" s="312"/>
      <c r="O375" s="312"/>
      <c r="P375" s="313"/>
      <c r="Q375" s="312"/>
      <c r="R375" s="327"/>
    </row>
    <row r="376" spans="1:18">
      <c r="A376" s="303"/>
      <c r="B376" s="430"/>
      <c r="C376" s="304"/>
      <c r="D376" s="305"/>
      <c r="E376" s="306"/>
      <c r="F376" s="306"/>
      <c r="G376" s="306"/>
      <c r="H376" s="307"/>
      <c r="I376" s="306"/>
      <c r="J376" s="308"/>
      <c r="K376" s="304"/>
      <c r="L376" s="305"/>
      <c r="M376" s="305"/>
      <c r="N376" s="306"/>
      <c r="O376" s="306"/>
      <c r="P376" s="307"/>
      <c r="Q376" s="306"/>
      <c r="R376" s="328"/>
    </row>
    <row r="377" spans="1:18">
      <c r="A377" s="309"/>
      <c r="B377" s="431"/>
      <c r="C377" s="310"/>
      <c r="D377" s="311"/>
      <c r="E377" s="312"/>
      <c r="F377" s="312"/>
      <c r="G377" s="312"/>
      <c r="H377" s="313"/>
      <c r="I377" s="312"/>
      <c r="J377" s="302"/>
      <c r="K377" s="310"/>
      <c r="L377" s="311"/>
      <c r="M377" s="311"/>
      <c r="N377" s="312"/>
      <c r="O377" s="312"/>
      <c r="P377" s="313"/>
      <c r="Q377" s="312"/>
      <c r="R377" s="327"/>
    </row>
    <row r="378" spans="1:18">
      <c r="A378" s="303"/>
      <c r="B378" s="430"/>
      <c r="C378" s="304"/>
      <c r="D378" s="305"/>
      <c r="E378" s="306"/>
      <c r="F378" s="306"/>
      <c r="G378" s="306"/>
      <c r="H378" s="307"/>
      <c r="I378" s="306"/>
      <c r="J378" s="308"/>
      <c r="K378" s="304"/>
      <c r="L378" s="305"/>
      <c r="M378" s="305"/>
      <c r="N378" s="306"/>
      <c r="O378" s="306"/>
      <c r="P378" s="307"/>
      <c r="Q378" s="306"/>
      <c r="R378" s="328"/>
    </row>
    <row r="379" spans="1:18">
      <c r="A379" s="309"/>
      <c r="B379" s="431"/>
      <c r="C379" s="310"/>
      <c r="D379" s="311"/>
      <c r="E379" s="312"/>
      <c r="F379" s="312"/>
      <c r="G379" s="312"/>
      <c r="H379" s="313"/>
      <c r="I379" s="312"/>
      <c r="J379" s="302"/>
      <c r="K379" s="310"/>
      <c r="L379" s="311"/>
      <c r="M379" s="311"/>
      <c r="N379" s="312"/>
      <c r="O379" s="312"/>
      <c r="P379" s="313"/>
      <c r="Q379" s="312"/>
      <c r="R379" s="327"/>
    </row>
    <row r="380" spans="1:18">
      <c r="A380" s="303"/>
      <c r="B380" s="430"/>
      <c r="C380" s="304"/>
      <c r="D380" s="305"/>
      <c r="E380" s="306"/>
      <c r="F380" s="306"/>
      <c r="G380" s="306"/>
      <c r="H380" s="307"/>
      <c r="I380" s="306"/>
      <c r="J380" s="308"/>
      <c r="K380" s="304"/>
      <c r="L380" s="305"/>
      <c r="M380" s="305"/>
      <c r="N380" s="306"/>
      <c r="O380" s="306"/>
      <c r="P380" s="307"/>
      <c r="Q380" s="306"/>
      <c r="R380" s="328"/>
    </row>
    <row r="381" spans="1:18">
      <c r="A381" s="309"/>
      <c r="B381" s="431"/>
      <c r="C381" s="310"/>
      <c r="D381" s="311"/>
      <c r="E381" s="312"/>
      <c r="F381" s="312"/>
      <c r="G381" s="312"/>
      <c r="H381" s="313"/>
      <c r="I381" s="312"/>
      <c r="J381" s="302"/>
      <c r="K381" s="310"/>
      <c r="L381" s="311"/>
      <c r="M381" s="311"/>
      <c r="N381" s="312"/>
      <c r="O381" s="312"/>
      <c r="P381" s="313"/>
      <c r="Q381" s="312"/>
      <c r="R381" s="327"/>
    </row>
    <row r="382" spans="1:18">
      <c r="A382" s="303"/>
      <c r="B382" s="430"/>
      <c r="C382" s="304"/>
      <c r="D382" s="305"/>
      <c r="E382" s="306"/>
      <c r="F382" s="306"/>
      <c r="G382" s="306"/>
      <c r="H382" s="307"/>
      <c r="I382" s="306"/>
      <c r="J382" s="308"/>
      <c r="K382" s="304"/>
      <c r="L382" s="305"/>
      <c r="M382" s="305"/>
      <c r="N382" s="306"/>
      <c r="O382" s="306"/>
      <c r="P382" s="307"/>
      <c r="Q382" s="306"/>
      <c r="R382" s="328"/>
    </row>
    <row r="383" spans="1:18">
      <c r="A383" s="309"/>
      <c r="B383" s="431"/>
      <c r="C383" s="310"/>
      <c r="D383" s="311"/>
      <c r="E383" s="312"/>
      <c r="F383" s="312"/>
      <c r="G383" s="312"/>
      <c r="H383" s="313"/>
      <c r="I383" s="312"/>
      <c r="J383" s="302"/>
      <c r="K383" s="310"/>
      <c r="L383" s="311"/>
      <c r="M383" s="311"/>
      <c r="N383" s="312"/>
      <c r="O383" s="312"/>
      <c r="P383" s="313"/>
      <c r="Q383" s="312"/>
      <c r="R383" s="327"/>
    </row>
    <row r="384" spans="1:18">
      <c r="A384" s="303"/>
      <c r="B384" s="430"/>
      <c r="C384" s="304"/>
      <c r="D384" s="305"/>
      <c r="E384" s="306"/>
      <c r="F384" s="306"/>
      <c r="G384" s="306"/>
      <c r="H384" s="307"/>
      <c r="I384" s="306"/>
      <c r="J384" s="308"/>
      <c r="K384" s="304"/>
      <c r="L384" s="305"/>
      <c r="M384" s="305"/>
      <c r="N384" s="306"/>
      <c r="O384" s="306"/>
      <c r="P384" s="307"/>
      <c r="Q384" s="306"/>
      <c r="R384" s="328"/>
    </row>
    <row r="385" spans="1:18">
      <c r="A385" s="309"/>
      <c r="B385" s="431"/>
      <c r="C385" s="310"/>
      <c r="D385" s="311"/>
      <c r="E385" s="312"/>
      <c r="F385" s="312"/>
      <c r="G385" s="312"/>
      <c r="H385" s="313"/>
      <c r="I385" s="312"/>
      <c r="J385" s="302"/>
      <c r="K385" s="310"/>
      <c r="L385" s="311"/>
      <c r="M385" s="311"/>
      <c r="N385" s="312"/>
      <c r="O385" s="312"/>
      <c r="P385" s="313"/>
      <c r="Q385" s="312"/>
      <c r="R385" s="327"/>
    </row>
    <row r="386" spans="1:18">
      <c r="A386" s="303"/>
      <c r="B386" s="430"/>
      <c r="C386" s="304"/>
      <c r="D386" s="305"/>
      <c r="E386" s="306"/>
      <c r="F386" s="306"/>
      <c r="G386" s="306"/>
      <c r="H386" s="307"/>
      <c r="I386" s="306"/>
      <c r="J386" s="308"/>
      <c r="K386" s="304"/>
      <c r="L386" s="305"/>
      <c r="M386" s="305"/>
      <c r="N386" s="306"/>
      <c r="O386" s="306"/>
      <c r="P386" s="307"/>
      <c r="Q386" s="306"/>
      <c r="R386" s="328"/>
    </row>
    <row r="387" spans="1:18">
      <c r="A387" s="309"/>
      <c r="B387" s="431"/>
      <c r="C387" s="310"/>
      <c r="D387" s="311"/>
      <c r="E387" s="312"/>
      <c r="F387" s="312"/>
      <c r="G387" s="312"/>
      <c r="H387" s="313"/>
      <c r="I387" s="312"/>
      <c r="J387" s="302"/>
      <c r="K387" s="310"/>
      <c r="L387" s="311"/>
      <c r="M387" s="311"/>
      <c r="N387" s="312"/>
      <c r="O387" s="312"/>
      <c r="P387" s="313"/>
      <c r="Q387" s="312"/>
      <c r="R387" s="327"/>
    </row>
    <row r="388" spans="1:18">
      <c r="A388" s="303"/>
      <c r="B388" s="430"/>
      <c r="C388" s="304"/>
      <c r="D388" s="305"/>
      <c r="E388" s="306"/>
      <c r="F388" s="306"/>
      <c r="G388" s="306"/>
      <c r="H388" s="307"/>
      <c r="I388" s="306"/>
      <c r="J388" s="308"/>
      <c r="K388" s="304"/>
      <c r="L388" s="305"/>
      <c r="M388" s="305"/>
      <c r="N388" s="306"/>
      <c r="O388" s="306"/>
      <c r="P388" s="307"/>
      <c r="Q388" s="306"/>
      <c r="R388" s="328"/>
    </row>
    <row r="389" spans="1:18">
      <c r="A389" s="309"/>
      <c r="B389" s="431"/>
      <c r="C389" s="310"/>
      <c r="D389" s="311"/>
      <c r="E389" s="312"/>
      <c r="F389" s="312"/>
      <c r="G389" s="312"/>
      <c r="H389" s="313"/>
      <c r="I389" s="312"/>
      <c r="J389" s="302"/>
      <c r="K389" s="310"/>
      <c r="L389" s="311"/>
      <c r="M389" s="311"/>
      <c r="N389" s="312"/>
      <c r="O389" s="312"/>
      <c r="P389" s="313"/>
      <c r="Q389" s="312"/>
      <c r="R389" s="327"/>
    </row>
    <row r="390" spans="1:18">
      <c r="A390" s="303"/>
      <c r="B390" s="430"/>
      <c r="C390" s="304"/>
      <c r="D390" s="305"/>
      <c r="E390" s="306"/>
      <c r="F390" s="306"/>
      <c r="G390" s="306"/>
      <c r="H390" s="307"/>
      <c r="I390" s="306"/>
      <c r="J390" s="308"/>
      <c r="K390" s="304"/>
      <c r="L390" s="305"/>
      <c r="M390" s="305"/>
      <c r="N390" s="306"/>
      <c r="O390" s="306"/>
      <c r="P390" s="307"/>
      <c r="Q390" s="306"/>
      <c r="R390" s="328"/>
    </row>
    <row r="391" spans="1:18">
      <c r="A391" s="309"/>
      <c r="B391" s="431"/>
      <c r="C391" s="310"/>
      <c r="D391" s="311"/>
      <c r="E391" s="312"/>
      <c r="F391" s="312"/>
      <c r="G391" s="312"/>
      <c r="H391" s="313"/>
      <c r="I391" s="312"/>
      <c r="J391" s="302"/>
      <c r="K391" s="310"/>
      <c r="L391" s="311"/>
      <c r="M391" s="311"/>
      <c r="N391" s="312"/>
      <c r="O391" s="312"/>
      <c r="P391" s="313"/>
      <c r="Q391" s="312"/>
      <c r="R391" s="327"/>
    </row>
    <row r="392" spans="1:18">
      <c r="A392" s="303"/>
      <c r="B392" s="430"/>
      <c r="C392" s="304"/>
      <c r="D392" s="305"/>
      <c r="E392" s="306"/>
      <c r="F392" s="306"/>
      <c r="G392" s="306"/>
      <c r="H392" s="307"/>
      <c r="I392" s="306"/>
      <c r="J392" s="308"/>
      <c r="K392" s="304"/>
      <c r="L392" s="305"/>
      <c r="M392" s="305"/>
      <c r="N392" s="306"/>
      <c r="O392" s="306"/>
      <c r="P392" s="307"/>
      <c r="Q392" s="306"/>
      <c r="R392" s="328"/>
    </row>
    <row r="393" spans="1:18">
      <c r="A393" s="309"/>
      <c r="B393" s="431"/>
      <c r="C393" s="310"/>
      <c r="D393" s="311"/>
      <c r="E393" s="312"/>
      <c r="F393" s="312"/>
      <c r="G393" s="312"/>
      <c r="H393" s="313"/>
      <c r="I393" s="312"/>
      <c r="J393" s="302"/>
      <c r="K393" s="310"/>
      <c r="L393" s="311"/>
      <c r="M393" s="311"/>
      <c r="N393" s="312"/>
      <c r="O393" s="312"/>
      <c r="P393" s="313"/>
      <c r="Q393" s="312"/>
      <c r="R393" s="327"/>
    </row>
    <row r="394" spans="1:18">
      <c r="A394" s="303"/>
      <c r="B394" s="430"/>
      <c r="C394" s="304"/>
      <c r="D394" s="305"/>
      <c r="E394" s="306"/>
      <c r="F394" s="306"/>
      <c r="G394" s="306"/>
      <c r="H394" s="307"/>
      <c r="I394" s="306"/>
      <c r="J394" s="308"/>
      <c r="K394" s="304"/>
      <c r="L394" s="305"/>
      <c r="M394" s="305"/>
      <c r="N394" s="306"/>
      <c r="O394" s="306"/>
      <c r="P394" s="307"/>
      <c r="Q394" s="306"/>
      <c r="R394" s="328"/>
    </row>
    <row r="395" spans="1:18">
      <c r="A395" s="309"/>
      <c r="B395" s="431"/>
      <c r="C395" s="310"/>
      <c r="D395" s="311"/>
      <c r="E395" s="312"/>
      <c r="F395" s="312"/>
      <c r="G395" s="312"/>
      <c r="H395" s="313"/>
      <c r="I395" s="312"/>
      <c r="J395" s="302"/>
      <c r="K395" s="310"/>
      <c r="L395" s="311"/>
      <c r="M395" s="311"/>
      <c r="N395" s="312"/>
      <c r="O395" s="312"/>
      <c r="P395" s="313"/>
      <c r="Q395" s="312"/>
      <c r="R395" s="327"/>
    </row>
    <row r="396" spans="1:18">
      <c r="A396" s="303"/>
      <c r="B396" s="430"/>
      <c r="C396" s="304"/>
      <c r="D396" s="305"/>
      <c r="E396" s="306"/>
      <c r="F396" s="306"/>
      <c r="G396" s="306"/>
      <c r="H396" s="307"/>
      <c r="I396" s="306"/>
      <c r="J396" s="308"/>
      <c r="K396" s="304"/>
      <c r="L396" s="305"/>
      <c r="M396" s="305"/>
      <c r="N396" s="306"/>
      <c r="O396" s="306"/>
      <c r="P396" s="307"/>
      <c r="Q396" s="306"/>
      <c r="R396" s="328"/>
    </row>
    <row r="397" spans="1:18">
      <c r="A397" s="309"/>
      <c r="B397" s="431"/>
      <c r="C397" s="310"/>
      <c r="D397" s="311"/>
      <c r="E397" s="312"/>
      <c r="F397" s="312"/>
      <c r="G397" s="312"/>
      <c r="H397" s="313"/>
      <c r="I397" s="312"/>
      <c r="J397" s="302"/>
      <c r="K397" s="310"/>
      <c r="L397" s="311"/>
      <c r="M397" s="311"/>
      <c r="N397" s="312"/>
      <c r="O397" s="312"/>
      <c r="P397" s="313"/>
      <c r="Q397" s="312"/>
      <c r="R397" s="327"/>
    </row>
    <row r="398" spans="1:18">
      <c r="A398" s="303"/>
      <c r="B398" s="430"/>
      <c r="C398" s="304"/>
      <c r="D398" s="305"/>
      <c r="E398" s="306"/>
      <c r="F398" s="306"/>
      <c r="G398" s="306"/>
      <c r="H398" s="307"/>
      <c r="I398" s="306"/>
      <c r="J398" s="308"/>
      <c r="K398" s="304"/>
      <c r="L398" s="305"/>
      <c r="M398" s="305"/>
      <c r="N398" s="306"/>
      <c r="O398" s="306"/>
      <c r="P398" s="307"/>
      <c r="Q398" s="306"/>
      <c r="R398" s="328"/>
    </row>
    <row r="399" spans="1:18">
      <c r="A399" s="309"/>
      <c r="B399" s="431"/>
      <c r="C399" s="310"/>
      <c r="D399" s="311"/>
      <c r="E399" s="312"/>
      <c r="F399" s="312"/>
      <c r="G399" s="312"/>
      <c r="H399" s="313"/>
      <c r="I399" s="312"/>
      <c r="J399" s="302"/>
      <c r="K399" s="310"/>
      <c r="L399" s="311"/>
      <c r="M399" s="311"/>
      <c r="N399" s="312"/>
      <c r="O399" s="312"/>
      <c r="P399" s="313"/>
      <c r="Q399" s="312"/>
      <c r="R399" s="327"/>
    </row>
    <row r="400" spans="1:18">
      <c r="A400" s="303"/>
      <c r="B400" s="430"/>
      <c r="C400" s="304"/>
      <c r="D400" s="305"/>
      <c r="E400" s="306"/>
      <c r="F400" s="306"/>
      <c r="G400" s="306"/>
      <c r="H400" s="307"/>
      <c r="I400" s="306"/>
      <c r="J400" s="308"/>
      <c r="K400" s="304"/>
      <c r="L400" s="305"/>
      <c r="M400" s="305"/>
      <c r="N400" s="306"/>
      <c r="O400" s="306"/>
      <c r="P400" s="307"/>
      <c r="Q400" s="306"/>
      <c r="R400" s="328"/>
    </row>
    <row r="401" spans="1:18">
      <c r="A401" s="309"/>
      <c r="B401" s="431"/>
      <c r="C401" s="310"/>
      <c r="D401" s="311"/>
      <c r="E401" s="312"/>
      <c r="F401" s="312"/>
      <c r="G401" s="312"/>
      <c r="H401" s="313"/>
      <c r="I401" s="312"/>
      <c r="J401" s="302"/>
      <c r="K401" s="310"/>
      <c r="L401" s="311"/>
      <c r="M401" s="311"/>
      <c r="N401" s="312"/>
      <c r="O401" s="312"/>
      <c r="P401" s="313"/>
      <c r="Q401" s="312"/>
      <c r="R401" s="327"/>
    </row>
    <row r="402" spans="1:18">
      <c r="A402" s="303"/>
      <c r="B402" s="430"/>
      <c r="C402" s="304"/>
      <c r="D402" s="305"/>
      <c r="E402" s="306"/>
      <c r="F402" s="306"/>
      <c r="G402" s="306"/>
      <c r="H402" s="307"/>
      <c r="I402" s="306"/>
      <c r="J402" s="308"/>
      <c r="K402" s="304"/>
      <c r="L402" s="305"/>
      <c r="M402" s="305"/>
      <c r="N402" s="306"/>
      <c r="O402" s="306"/>
      <c r="P402" s="307"/>
      <c r="Q402" s="306"/>
      <c r="R402" s="328"/>
    </row>
    <row r="403" spans="1:18">
      <c r="A403" s="309"/>
      <c r="B403" s="431"/>
      <c r="C403" s="310"/>
      <c r="D403" s="311"/>
      <c r="E403" s="312"/>
      <c r="F403" s="312"/>
      <c r="G403" s="312"/>
      <c r="H403" s="313"/>
      <c r="I403" s="312"/>
      <c r="J403" s="302"/>
      <c r="K403" s="310"/>
      <c r="L403" s="311"/>
      <c r="M403" s="311"/>
      <c r="N403" s="312"/>
      <c r="O403" s="312"/>
      <c r="P403" s="313"/>
      <c r="Q403" s="312"/>
      <c r="R403" s="327"/>
    </row>
    <row r="404" spans="1:18">
      <c r="A404" s="303"/>
      <c r="B404" s="430"/>
      <c r="C404" s="304"/>
      <c r="D404" s="305"/>
      <c r="E404" s="306"/>
      <c r="F404" s="306"/>
      <c r="G404" s="306"/>
      <c r="H404" s="307"/>
      <c r="I404" s="306"/>
      <c r="J404" s="308"/>
      <c r="K404" s="304"/>
      <c r="L404" s="305"/>
      <c r="M404" s="305"/>
      <c r="N404" s="306"/>
      <c r="O404" s="306"/>
      <c r="P404" s="307"/>
      <c r="Q404" s="306"/>
      <c r="R404" s="328"/>
    </row>
    <row r="405" spans="1:18">
      <c r="A405" s="309"/>
      <c r="B405" s="431"/>
      <c r="C405" s="310"/>
      <c r="D405" s="311"/>
      <c r="E405" s="312"/>
      <c r="F405" s="312"/>
      <c r="G405" s="312"/>
      <c r="H405" s="313"/>
      <c r="I405" s="312"/>
      <c r="J405" s="302"/>
      <c r="K405" s="310"/>
      <c r="L405" s="311"/>
      <c r="M405" s="311"/>
      <c r="N405" s="312"/>
      <c r="O405" s="312"/>
      <c r="P405" s="313"/>
      <c r="Q405" s="312"/>
      <c r="R405" s="327"/>
    </row>
    <row r="406" spans="1:18">
      <c r="A406" s="303"/>
      <c r="B406" s="430"/>
      <c r="C406" s="304"/>
      <c r="D406" s="305"/>
      <c r="E406" s="306"/>
      <c r="F406" s="306"/>
      <c r="G406" s="306"/>
      <c r="H406" s="307"/>
      <c r="I406" s="306"/>
      <c r="J406" s="308"/>
      <c r="K406" s="304"/>
      <c r="L406" s="305"/>
      <c r="M406" s="305"/>
      <c r="N406" s="306"/>
      <c r="O406" s="306"/>
      <c r="P406" s="307"/>
      <c r="Q406" s="306"/>
      <c r="R406" s="328"/>
    </row>
    <row r="407" spans="1:18">
      <c r="A407" s="309"/>
      <c r="B407" s="431"/>
      <c r="C407" s="310"/>
      <c r="D407" s="311"/>
      <c r="E407" s="312"/>
      <c r="F407" s="312"/>
      <c r="G407" s="312"/>
      <c r="H407" s="313"/>
      <c r="I407" s="312"/>
      <c r="J407" s="302"/>
      <c r="K407" s="310"/>
      <c r="L407" s="311"/>
      <c r="M407" s="311"/>
      <c r="N407" s="312"/>
      <c r="O407" s="312"/>
      <c r="P407" s="313"/>
      <c r="Q407" s="312"/>
      <c r="R407" s="327"/>
    </row>
    <row r="408" spans="1:18">
      <c r="A408" s="303"/>
      <c r="B408" s="430"/>
      <c r="C408" s="304"/>
      <c r="D408" s="305"/>
      <c r="E408" s="306"/>
      <c r="F408" s="306"/>
      <c r="G408" s="306"/>
      <c r="H408" s="307"/>
      <c r="I408" s="306"/>
      <c r="J408" s="308"/>
      <c r="K408" s="304"/>
      <c r="L408" s="305"/>
      <c r="M408" s="305"/>
      <c r="N408" s="306"/>
      <c r="O408" s="306"/>
      <c r="P408" s="307"/>
      <c r="Q408" s="306"/>
      <c r="R408" s="328"/>
    </row>
    <row r="409" spans="1:18">
      <c r="A409" s="309"/>
      <c r="B409" s="431"/>
      <c r="C409" s="310"/>
      <c r="D409" s="311"/>
      <c r="E409" s="312"/>
      <c r="F409" s="312"/>
      <c r="G409" s="312"/>
      <c r="H409" s="313"/>
      <c r="I409" s="312"/>
      <c r="J409" s="302"/>
      <c r="K409" s="310"/>
      <c r="L409" s="311"/>
      <c r="M409" s="311"/>
      <c r="N409" s="312"/>
      <c r="O409" s="312"/>
      <c r="P409" s="313"/>
      <c r="Q409" s="312"/>
      <c r="R409" s="327"/>
    </row>
    <row r="410" spans="1:18">
      <c r="A410" s="303"/>
      <c r="B410" s="430"/>
      <c r="C410" s="304"/>
      <c r="D410" s="305"/>
      <c r="E410" s="306"/>
      <c r="F410" s="306"/>
      <c r="G410" s="306"/>
      <c r="H410" s="307"/>
      <c r="I410" s="306"/>
      <c r="J410" s="308"/>
      <c r="K410" s="304"/>
      <c r="L410" s="305"/>
      <c r="M410" s="305"/>
      <c r="N410" s="306"/>
      <c r="O410" s="306"/>
      <c r="P410" s="307"/>
      <c r="Q410" s="306"/>
      <c r="R410" s="328"/>
    </row>
    <row r="411" spans="1:18">
      <c r="A411" s="309"/>
      <c r="B411" s="431"/>
      <c r="C411" s="310"/>
      <c r="D411" s="311"/>
      <c r="E411" s="312"/>
      <c r="F411" s="312"/>
      <c r="G411" s="312"/>
      <c r="H411" s="313"/>
      <c r="I411" s="312"/>
      <c r="J411" s="302"/>
      <c r="K411" s="310"/>
      <c r="L411" s="311"/>
      <c r="M411" s="311"/>
      <c r="N411" s="312"/>
      <c r="O411" s="312"/>
      <c r="P411" s="313"/>
      <c r="Q411" s="312"/>
      <c r="R411" s="327"/>
    </row>
    <row r="412" spans="1:18">
      <c r="A412" s="303"/>
      <c r="B412" s="430"/>
      <c r="C412" s="304"/>
      <c r="D412" s="305"/>
      <c r="E412" s="306"/>
      <c r="F412" s="306"/>
      <c r="G412" s="306"/>
      <c r="H412" s="307"/>
      <c r="I412" s="306"/>
      <c r="J412" s="308"/>
      <c r="K412" s="304"/>
      <c r="L412" s="305"/>
      <c r="M412" s="305"/>
      <c r="N412" s="306"/>
      <c r="O412" s="306"/>
      <c r="P412" s="307"/>
      <c r="Q412" s="306"/>
      <c r="R412" s="328"/>
    </row>
    <row r="413" spans="1:18">
      <c r="A413" s="309"/>
      <c r="B413" s="431"/>
      <c r="C413" s="310"/>
      <c r="D413" s="311"/>
      <c r="E413" s="312"/>
      <c r="F413" s="312"/>
      <c r="G413" s="312"/>
      <c r="H413" s="313"/>
      <c r="I413" s="312"/>
      <c r="J413" s="302"/>
      <c r="K413" s="310"/>
      <c r="L413" s="311"/>
      <c r="M413" s="311"/>
      <c r="N413" s="312"/>
      <c r="O413" s="312"/>
      <c r="P413" s="313"/>
      <c r="Q413" s="312"/>
      <c r="R413" s="327"/>
    </row>
    <row r="414" spans="1:18">
      <c r="A414" s="303"/>
      <c r="B414" s="430"/>
      <c r="C414" s="304"/>
      <c r="D414" s="305"/>
      <c r="E414" s="306"/>
      <c r="F414" s="306"/>
      <c r="G414" s="306"/>
      <c r="H414" s="307"/>
      <c r="I414" s="306"/>
      <c r="J414" s="308"/>
      <c r="K414" s="304"/>
      <c r="L414" s="305"/>
      <c r="M414" s="305"/>
      <c r="N414" s="306"/>
      <c r="O414" s="306"/>
      <c r="P414" s="307"/>
      <c r="Q414" s="306"/>
      <c r="R414" s="328"/>
    </row>
    <row r="415" spans="1:18">
      <c r="A415" s="309"/>
      <c r="B415" s="431"/>
      <c r="C415" s="310"/>
      <c r="D415" s="311"/>
      <c r="E415" s="312"/>
      <c r="F415" s="312"/>
      <c r="G415" s="312"/>
      <c r="H415" s="313"/>
      <c r="I415" s="312"/>
      <c r="J415" s="302"/>
      <c r="K415" s="310"/>
      <c r="L415" s="311"/>
      <c r="M415" s="311"/>
      <c r="N415" s="312"/>
      <c r="O415" s="312"/>
      <c r="P415" s="313"/>
      <c r="Q415" s="312"/>
      <c r="R415" s="327"/>
    </row>
    <row r="416" spans="1:18">
      <c r="A416" s="303"/>
      <c r="B416" s="430"/>
      <c r="C416" s="304"/>
      <c r="D416" s="305"/>
      <c r="E416" s="306"/>
      <c r="F416" s="306"/>
      <c r="G416" s="306"/>
      <c r="H416" s="307"/>
      <c r="I416" s="306"/>
      <c r="J416" s="308"/>
      <c r="K416" s="304"/>
      <c r="L416" s="305"/>
      <c r="M416" s="305"/>
      <c r="N416" s="306"/>
      <c r="O416" s="306"/>
      <c r="P416" s="307"/>
      <c r="Q416" s="306"/>
      <c r="R416" s="328"/>
    </row>
    <row r="417" spans="1:18">
      <c r="A417" s="309"/>
      <c r="B417" s="431"/>
      <c r="C417" s="310"/>
      <c r="D417" s="311"/>
      <c r="E417" s="312"/>
      <c r="F417" s="312"/>
      <c r="G417" s="312"/>
      <c r="H417" s="313"/>
      <c r="I417" s="312"/>
      <c r="J417" s="302"/>
      <c r="K417" s="310"/>
      <c r="L417" s="311"/>
      <c r="M417" s="311"/>
      <c r="N417" s="312"/>
      <c r="O417" s="312"/>
      <c r="P417" s="313"/>
      <c r="Q417" s="312"/>
      <c r="R417" s="327"/>
    </row>
    <row r="418" spans="1:18">
      <c r="A418" s="303"/>
      <c r="B418" s="430"/>
      <c r="C418" s="304"/>
      <c r="D418" s="305"/>
      <c r="E418" s="306"/>
      <c r="F418" s="306"/>
      <c r="G418" s="306"/>
      <c r="H418" s="307"/>
      <c r="I418" s="306"/>
      <c r="J418" s="308"/>
      <c r="K418" s="304"/>
      <c r="L418" s="305"/>
      <c r="M418" s="305"/>
      <c r="N418" s="306"/>
      <c r="O418" s="306"/>
      <c r="P418" s="307"/>
      <c r="Q418" s="306"/>
      <c r="R418" s="328"/>
    </row>
    <row r="419" spans="1:18">
      <c r="A419" s="309"/>
      <c r="B419" s="431"/>
      <c r="C419" s="310"/>
      <c r="D419" s="311"/>
      <c r="E419" s="312"/>
      <c r="F419" s="312"/>
      <c r="G419" s="312"/>
      <c r="H419" s="313"/>
      <c r="I419" s="312"/>
      <c r="J419" s="302"/>
      <c r="K419" s="310"/>
      <c r="L419" s="311"/>
      <c r="M419" s="311"/>
      <c r="N419" s="312"/>
      <c r="O419" s="312"/>
      <c r="P419" s="313"/>
      <c r="Q419" s="312"/>
      <c r="R419" s="327"/>
    </row>
    <row r="420" spans="1:18">
      <c r="A420" s="303"/>
      <c r="B420" s="430"/>
      <c r="C420" s="304"/>
      <c r="D420" s="305"/>
      <c r="E420" s="306"/>
      <c r="F420" s="306"/>
      <c r="G420" s="306"/>
      <c r="H420" s="307"/>
      <c r="I420" s="306"/>
      <c r="J420" s="308"/>
      <c r="K420" s="304"/>
      <c r="L420" s="305"/>
      <c r="M420" s="305"/>
      <c r="N420" s="306"/>
      <c r="O420" s="306"/>
      <c r="P420" s="307"/>
      <c r="Q420" s="306"/>
      <c r="R420" s="328"/>
    </row>
    <row r="421" spans="1:18">
      <c r="A421" s="309"/>
      <c r="B421" s="431"/>
      <c r="C421" s="310"/>
      <c r="D421" s="311"/>
      <c r="E421" s="312"/>
      <c r="F421" s="312"/>
      <c r="G421" s="312"/>
      <c r="H421" s="313"/>
      <c r="I421" s="312"/>
      <c r="J421" s="302"/>
      <c r="K421" s="310"/>
      <c r="L421" s="311"/>
      <c r="M421" s="311"/>
      <c r="N421" s="312"/>
      <c r="O421" s="312"/>
      <c r="P421" s="313"/>
      <c r="Q421" s="312"/>
      <c r="R421" s="327"/>
    </row>
    <row r="422" spans="1:18">
      <c r="A422" s="303"/>
      <c r="B422" s="430"/>
      <c r="C422" s="304"/>
      <c r="D422" s="305"/>
      <c r="E422" s="306"/>
      <c r="F422" s="306"/>
      <c r="G422" s="306"/>
      <c r="H422" s="307"/>
      <c r="I422" s="306"/>
      <c r="J422" s="308"/>
      <c r="K422" s="304"/>
      <c r="L422" s="305"/>
      <c r="M422" s="305"/>
      <c r="N422" s="306"/>
      <c r="O422" s="306"/>
      <c r="P422" s="307"/>
      <c r="Q422" s="306"/>
      <c r="R422" s="328"/>
    </row>
    <row r="423" spans="1:18">
      <c r="A423" s="309"/>
      <c r="B423" s="431"/>
      <c r="C423" s="310"/>
      <c r="D423" s="311"/>
      <c r="E423" s="312"/>
      <c r="F423" s="312"/>
      <c r="G423" s="312"/>
      <c r="H423" s="313"/>
      <c r="I423" s="312"/>
      <c r="J423" s="302"/>
      <c r="K423" s="310"/>
      <c r="L423" s="311"/>
      <c r="M423" s="311"/>
      <c r="N423" s="312"/>
      <c r="O423" s="312"/>
      <c r="P423" s="313"/>
      <c r="Q423" s="312"/>
      <c r="R423" s="327"/>
    </row>
    <row r="424" spans="1:18">
      <c r="A424" s="303"/>
      <c r="B424" s="430"/>
      <c r="C424" s="304"/>
      <c r="D424" s="305"/>
      <c r="E424" s="306"/>
      <c r="F424" s="306"/>
      <c r="G424" s="306"/>
      <c r="H424" s="307"/>
      <c r="I424" s="306"/>
      <c r="J424" s="308"/>
      <c r="K424" s="304"/>
      <c r="L424" s="305"/>
      <c r="M424" s="305"/>
      <c r="N424" s="306"/>
      <c r="O424" s="306"/>
      <c r="P424" s="307"/>
      <c r="Q424" s="306"/>
      <c r="R424" s="328"/>
    </row>
    <row r="425" spans="1:18">
      <c r="A425" s="309"/>
      <c r="B425" s="431"/>
      <c r="C425" s="310"/>
      <c r="D425" s="311"/>
      <c r="E425" s="312"/>
      <c r="F425" s="312"/>
      <c r="G425" s="312"/>
      <c r="H425" s="313"/>
      <c r="I425" s="312"/>
      <c r="J425" s="302"/>
      <c r="K425" s="310"/>
      <c r="L425" s="311"/>
      <c r="M425" s="311"/>
      <c r="N425" s="312"/>
      <c r="O425" s="312"/>
      <c r="P425" s="313"/>
      <c r="Q425" s="312"/>
      <c r="R425" s="327"/>
    </row>
    <row r="426" spans="1:18">
      <c r="A426" s="303"/>
      <c r="B426" s="430"/>
      <c r="C426" s="304"/>
      <c r="D426" s="305"/>
      <c r="E426" s="306"/>
      <c r="F426" s="306"/>
      <c r="G426" s="306"/>
      <c r="H426" s="307"/>
      <c r="I426" s="306"/>
      <c r="J426" s="308"/>
      <c r="K426" s="304"/>
      <c r="L426" s="305"/>
      <c r="M426" s="305"/>
      <c r="N426" s="306"/>
      <c r="O426" s="306"/>
      <c r="P426" s="307"/>
      <c r="Q426" s="306"/>
      <c r="R426" s="328"/>
    </row>
    <row r="427" spans="1:18">
      <c r="A427" s="309"/>
      <c r="B427" s="431"/>
      <c r="C427" s="310"/>
      <c r="D427" s="311"/>
      <c r="E427" s="312"/>
      <c r="F427" s="312"/>
      <c r="G427" s="312"/>
      <c r="H427" s="313"/>
      <c r="I427" s="312"/>
      <c r="J427" s="302"/>
      <c r="K427" s="310"/>
      <c r="L427" s="311"/>
      <c r="M427" s="311"/>
      <c r="N427" s="312"/>
      <c r="O427" s="312"/>
      <c r="P427" s="313"/>
      <c r="Q427" s="312"/>
      <c r="R427" s="327"/>
    </row>
    <row r="428" spans="1:18">
      <c r="A428" s="303"/>
      <c r="B428" s="430"/>
      <c r="C428" s="304"/>
      <c r="D428" s="305"/>
      <c r="E428" s="306"/>
      <c r="F428" s="306"/>
      <c r="G428" s="306"/>
      <c r="H428" s="307"/>
      <c r="I428" s="306"/>
      <c r="J428" s="308"/>
      <c r="K428" s="304"/>
      <c r="L428" s="305"/>
      <c r="M428" s="305"/>
      <c r="N428" s="306"/>
      <c r="O428" s="306"/>
      <c r="P428" s="307"/>
      <c r="Q428" s="306"/>
      <c r="R428" s="328"/>
    </row>
    <row r="429" spans="1:18">
      <c r="A429" s="309"/>
      <c r="B429" s="431"/>
      <c r="C429" s="310"/>
      <c r="D429" s="311"/>
      <c r="E429" s="312"/>
      <c r="F429" s="312"/>
      <c r="G429" s="312"/>
      <c r="H429" s="313"/>
      <c r="I429" s="312"/>
      <c r="J429" s="302"/>
      <c r="K429" s="310"/>
      <c r="L429" s="311"/>
      <c r="M429" s="311"/>
      <c r="N429" s="312"/>
      <c r="O429" s="312"/>
      <c r="P429" s="313"/>
      <c r="Q429" s="312"/>
      <c r="R429" s="327"/>
    </row>
    <row r="430" spans="1:18">
      <c r="A430" s="303"/>
      <c r="B430" s="430"/>
      <c r="C430" s="304"/>
      <c r="D430" s="305"/>
      <c r="E430" s="306"/>
      <c r="F430" s="306"/>
      <c r="G430" s="306"/>
      <c r="H430" s="307"/>
      <c r="I430" s="306"/>
      <c r="J430" s="308"/>
      <c r="K430" s="304"/>
      <c r="L430" s="305"/>
      <c r="M430" s="305"/>
      <c r="N430" s="306"/>
      <c r="O430" s="306"/>
      <c r="P430" s="307"/>
      <c r="Q430" s="306"/>
      <c r="R430" s="328"/>
    </row>
    <row r="431" spans="1:18">
      <c r="A431" s="309"/>
      <c r="B431" s="431"/>
      <c r="C431" s="310"/>
      <c r="D431" s="311"/>
      <c r="E431" s="312"/>
      <c r="F431" s="312"/>
      <c r="G431" s="312"/>
      <c r="H431" s="313"/>
      <c r="I431" s="312"/>
      <c r="J431" s="302"/>
      <c r="K431" s="310"/>
      <c r="L431" s="311"/>
      <c r="M431" s="311"/>
      <c r="N431" s="312"/>
      <c r="O431" s="312"/>
      <c r="P431" s="313"/>
      <c r="Q431" s="312"/>
      <c r="R431" s="327"/>
    </row>
    <row r="432" spans="1:18">
      <c r="A432" s="303"/>
      <c r="B432" s="430"/>
      <c r="C432" s="304"/>
      <c r="D432" s="305"/>
      <c r="E432" s="306"/>
      <c r="F432" s="306"/>
      <c r="G432" s="306"/>
      <c r="H432" s="307"/>
      <c r="I432" s="306"/>
      <c r="J432" s="308"/>
      <c r="K432" s="304"/>
      <c r="L432" s="305"/>
      <c r="M432" s="305"/>
      <c r="N432" s="306"/>
      <c r="O432" s="306"/>
      <c r="P432" s="307"/>
      <c r="Q432" s="306"/>
      <c r="R432" s="328"/>
    </row>
    <row r="433" spans="1:18">
      <c r="A433" s="309"/>
      <c r="B433" s="431"/>
      <c r="C433" s="310"/>
      <c r="D433" s="311"/>
      <c r="E433" s="312"/>
      <c r="F433" s="312"/>
      <c r="G433" s="312"/>
      <c r="H433" s="313"/>
      <c r="I433" s="312"/>
      <c r="J433" s="302"/>
      <c r="K433" s="310"/>
      <c r="L433" s="311"/>
      <c r="M433" s="311"/>
      <c r="N433" s="312"/>
      <c r="O433" s="312"/>
      <c r="P433" s="313"/>
      <c r="Q433" s="312"/>
      <c r="R433" s="327"/>
    </row>
    <row r="434" spans="1:18">
      <c r="A434" s="303"/>
      <c r="B434" s="430"/>
      <c r="C434" s="304"/>
      <c r="D434" s="305"/>
      <c r="E434" s="306"/>
      <c r="F434" s="306"/>
      <c r="G434" s="306"/>
      <c r="H434" s="307"/>
      <c r="I434" s="306"/>
      <c r="J434" s="308"/>
      <c r="K434" s="304"/>
      <c r="L434" s="305"/>
      <c r="M434" s="305"/>
      <c r="N434" s="306"/>
      <c r="O434" s="306"/>
      <c r="P434" s="307"/>
      <c r="Q434" s="306"/>
      <c r="R434" s="328"/>
    </row>
    <row r="435" spans="1:18">
      <c r="A435" s="309"/>
      <c r="B435" s="431"/>
      <c r="C435" s="310"/>
      <c r="D435" s="311"/>
      <c r="E435" s="312"/>
      <c r="F435" s="312"/>
      <c r="G435" s="312"/>
      <c r="H435" s="313"/>
      <c r="I435" s="312"/>
      <c r="J435" s="302"/>
      <c r="K435" s="310"/>
      <c r="L435" s="311"/>
      <c r="M435" s="311"/>
      <c r="N435" s="312"/>
      <c r="O435" s="312"/>
      <c r="P435" s="313"/>
      <c r="Q435" s="312"/>
      <c r="R435" s="327"/>
    </row>
    <row r="436" spans="1:18">
      <c r="A436" s="303"/>
      <c r="B436" s="430"/>
      <c r="C436" s="304"/>
      <c r="D436" s="305"/>
      <c r="E436" s="306"/>
      <c r="F436" s="306"/>
      <c r="G436" s="306"/>
      <c r="H436" s="307"/>
      <c r="I436" s="306"/>
      <c r="J436" s="308"/>
      <c r="K436" s="304"/>
      <c r="L436" s="305"/>
      <c r="M436" s="305"/>
      <c r="N436" s="306"/>
      <c r="O436" s="306"/>
      <c r="P436" s="307"/>
      <c r="Q436" s="306"/>
      <c r="R436" s="328"/>
    </row>
    <row r="437" spans="1:18">
      <c r="A437" s="309"/>
      <c r="B437" s="431"/>
      <c r="C437" s="310"/>
      <c r="D437" s="311"/>
      <c r="E437" s="312"/>
      <c r="F437" s="312"/>
      <c r="G437" s="312"/>
      <c r="H437" s="313"/>
      <c r="I437" s="312"/>
      <c r="J437" s="302"/>
      <c r="K437" s="310"/>
      <c r="L437" s="311"/>
      <c r="M437" s="311"/>
      <c r="N437" s="312"/>
      <c r="O437" s="312"/>
      <c r="P437" s="313"/>
      <c r="Q437" s="312"/>
      <c r="R437" s="327"/>
    </row>
    <row r="438" spans="1:18">
      <c r="A438" s="303"/>
      <c r="B438" s="430"/>
      <c r="C438" s="304"/>
      <c r="D438" s="305"/>
      <c r="E438" s="306"/>
      <c r="F438" s="306"/>
      <c r="G438" s="306"/>
      <c r="H438" s="307"/>
      <c r="I438" s="306"/>
      <c r="J438" s="308"/>
      <c r="K438" s="304"/>
      <c r="L438" s="305"/>
      <c r="M438" s="305"/>
      <c r="N438" s="306"/>
      <c r="O438" s="306"/>
      <c r="P438" s="307"/>
      <c r="Q438" s="306"/>
      <c r="R438" s="328"/>
    </row>
    <row r="439" spans="1:18">
      <c r="A439" s="309"/>
      <c r="B439" s="431"/>
      <c r="C439" s="310"/>
      <c r="D439" s="311"/>
      <c r="E439" s="312"/>
      <c r="F439" s="312"/>
      <c r="G439" s="312"/>
      <c r="H439" s="313"/>
      <c r="I439" s="312"/>
      <c r="J439" s="302"/>
      <c r="K439" s="310"/>
      <c r="L439" s="311"/>
      <c r="M439" s="311"/>
      <c r="N439" s="312"/>
      <c r="O439" s="312"/>
      <c r="P439" s="313"/>
      <c r="Q439" s="312"/>
      <c r="R439" s="327"/>
    </row>
    <row r="440" spans="1:18">
      <c r="A440" s="303"/>
      <c r="B440" s="430"/>
      <c r="C440" s="304"/>
      <c r="D440" s="305"/>
      <c r="E440" s="306"/>
      <c r="F440" s="306"/>
      <c r="G440" s="306"/>
      <c r="H440" s="307"/>
      <c r="I440" s="306"/>
      <c r="J440" s="308"/>
      <c r="K440" s="304"/>
      <c r="L440" s="305"/>
      <c r="M440" s="305"/>
      <c r="N440" s="306"/>
      <c r="O440" s="306"/>
      <c r="P440" s="307"/>
      <c r="Q440" s="306"/>
      <c r="R440" s="328"/>
    </row>
    <row r="441" spans="1:18">
      <c r="A441" s="309"/>
      <c r="B441" s="431"/>
      <c r="C441" s="310"/>
      <c r="D441" s="311"/>
      <c r="E441" s="312"/>
      <c r="F441" s="312"/>
      <c r="G441" s="312"/>
      <c r="H441" s="313"/>
      <c r="I441" s="312"/>
      <c r="J441" s="302"/>
      <c r="K441" s="310"/>
      <c r="L441" s="311"/>
      <c r="M441" s="311"/>
      <c r="N441" s="312"/>
      <c r="O441" s="312"/>
      <c r="P441" s="313"/>
      <c r="Q441" s="312"/>
      <c r="R441" s="327"/>
    </row>
    <row r="442" spans="1:18">
      <c r="A442" s="303"/>
      <c r="B442" s="430"/>
      <c r="C442" s="304"/>
      <c r="D442" s="305"/>
      <c r="E442" s="306"/>
      <c r="F442" s="306"/>
      <c r="G442" s="306"/>
      <c r="H442" s="307"/>
      <c r="I442" s="306"/>
      <c r="J442" s="308"/>
      <c r="K442" s="304"/>
      <c r="L442" s="305"/>
      <c r="M442" s="305"/>
      <c r="N442" s="306"/>
      <c r="O442" s="306"/>
      <c r="P442" s="307"/>
      <c r="Q442" s="306"/>
      <c r="R442" s="328"/>
    </row>
    <row r="443" spans="1:18">
      <c r="A443" s="309"/>
      <c r="B443" s="431"/>
      <c r="C443" s="310"/>
      <c r="D443" s="311"/>
      <c r="E443" s="312"/>
      <c r="F443" s="312"/>
      <c r="G443" s="312"/>
      <c r="H443" s="313"/>
      <c r="I443" s="312"/>
      <c r="J443" s="302"/>
      <c r="K443" s="310"/>
      <c r="L443" s="311"/>
      <c r="M443" s="311"/>
      <c r="N443" s="312"/>
      <c r="O443" s="312"/>
      <c r="P443" s="313"/>
      <c r="Q443" s="312"/>
      <c r="R443" s="327"/>
    </row>
    <row r="444" spans="1:18">
      <c r="A444" s="303"/>
      <c r="B444" s="430"/>
      <c r="C444" s="304"/>
      <c r="D444" s="305"/>
      <c r="E444" s="306"/>
      <c r="F444" s="306"/>
      <c r="G444" s="306"/>
      <c r="H444" s="307"/>
      <c r="I444" s="306"/>
      <c r="J444" s="308"/>
      <c r="K444" s="304"/>
      <c r="L444" s="305"/>
      <c r="M444" s="305"/>
      <c r="N444" s="306"/>
      <c r="O444" s="306"/>
      <c r="P444" s="307"/>
      <c r="Q444" s="306"/>
      <c r="R444" s="328"/>
    </row>
    <row r="445" spans="1:18">
      <c r="A445" s="309"/>
      <c r="B445" s="431"/>
      <c r="C445" s="310"/>
      <c r="D445" s="311"/>
      <c r="E445" s="312"/>
      <c r="F445" s="312"/>
      <c r="G445" s="312"/>
      <c r="H445" s="313"/>
      <c r="I445" s="312"/>
      <c r="J445" s="302"/>
      <c r="K445" s="310"/>
      <c r="L445" s="311"/>
      <c r="M445" s="311"/>
      <c r="N445" s="312"/>
      <c r="O445" s="312"/>
      <c r="P445" s="313"/>
      <c r="Q445" s="312"/>
      <c r="R445" s="327"/>
    </row>
    <row r="446" spans="1:18">
      <c r="A446" s="303"/>
      <c r="B446" s="430"/>
      <c r="C446" s="304"/>
      <c r="D446" s="305"/>
      <c r="E446" s="306"/>
      <c r="F446" s="306"/>
      <c r="G446" s="306"/>
      <c r="H446" s="307"/>
      <c r="I446" s="306"/>
      <c r="J446" s="308"/>
      <c r="K446" s="304"/>
      <c r="L446" s="305"/>
      <c r="M446" s="305"/>
      <c r="N446" s="306"/>
      <c r="O446" s="306"/>
      <c r="P446" s="307"/>
      <c r="Q446" s="306"/>
      <c r="R446" s="328"/>
    </row>
    <row r="447" spans="1:18">
      <c r="A447" s="309"/>
      <c r="B447" s="431"/>
      <c r="C447" s="310"/>
      <c r="D447" s="311"/>
      <c r="E447" s="312"/>
      <c r="F447" s="312"/>
      <c r="G447" s="312"/>
      <c r="H447" s="313"/>
      <c r="I447" s="312"/>
      <c r="J447" s="302"/>
      <c r="K447" s="310"/>
      <c r="L447" s="311"/>
      <c r="M447" s="311"/>
      <c r="N447" s="312"/>
      <c r="O447" s="312"/>
      <c r="P447" s="313"/>
      <c r="Q447" s="312"/>
      <c r="R447" s="327"/>
    </row>
    <row r="448" spans="1:18">
      <c r="A448" s="303"/>
      <c r="B448" s="430"/>
      <c r="C448" s="304"/>
      <c r="D448" s="305"/>
      <c r="E448" s="306"/>
      <c r="F448" s="306"/>
      <c r="G448" s="306"/>
      <c r="H448" s="307"/>
      <c r="I448" s="306"/>
      <c r="J448" s="308"/>
      <c r="K448" s="304"/>
      <c r="L448" s="305"/>
      <c r="M448" s="305"/>
      <c r="N448" s="306"/>
      <c r="O448" s="306"/>
      <c r="P448" s="307"/>
      <c r="Q448" s="306"/>
      <c r="R448" s="328"/>
    </row>
    <row r="449" spans="1:18">
      <c r="A449" s="309"/>
      <c r="B449" s="431"/>
      <c r="C449" s="310"/>
      <c r="D449" s="311"/>
      <c r="E449" s="312"/>
      <c r="F449" s="312"/>
      <c r="G449" s="312"/>
      <c r="H449" s="313"/>
      <c r="I449" s="312"/>
      <c r="J449" s="302"/>
      <c r="K449" s="310"/>
      <c r="L449" s="311"/>
      <c r="M449" s="311"/>
      <c r="N449" s="312"/>
      <c r="O449" s="312"/>
      <c r="P449" s="313"/>
      <c r="Q449" s="312"/>
      <c r="R449" s="327"/>
    </row>
    <row r="450" spans="1:18">
      <c r="A450" s="303"/>
      <c r="B450" s="430"/>
      <c r="C450" s="304"/>
      <c r="D450" s="305"/>
      <c r="E450" s="306"/>
      <c r="F450" s="306"/>
      <c r="G450" s="306"/>
      <c r="H450" s="307"/>
      <c r="I450" s="306"/>
      <c r="J450" s="308"/>
      <c r="K450" s="304"/>
      <c r="L450" s="305"/>
      <c r="M450" s="305"/>
      <c r="N450" s="306"/>
      <c r="O450" s="306"/>
      <c r="P450" s="307"/>
      <c r="Q450" s="306"/>
      <c r="R450" s="328"/>
    </row>
    <row r="451" spans="1:18">
      <c r="A451" s="309"/>
      <c r="B451" s="431"/>
      <c r="C451" s="310"/>
      <c r="D451" s="311"/>
      <c r="E451" s="312"/>
      <c r="F451" s="312"/>
      <c r="G451" s="312"/>
      <c r="H451" s="313"/>
      <c r="I451" s="312"/>
      <c r="J451" s="302"/>
      <c r="K451" s="310"/>
      <c r="L451" s="311"/>
      <c r="M451" s="311"/>
      <c r="N451" s="312"/>
      <c r="O451" s="312"/>
      <c r="P451" s="313"/>
      <c r="Q451" s="312"/>
      <c r="R451" s="327"/>
    </row>
    <row r="452" spans="1:18">
      <c r="A452" s="303"/>
      <c r="B452" s="430"/>
      <c r="C452" s="304"/>
      <c r="D452" s="305"/>
      <c r="E452" s="306"/>
      <c r="F452" s="306"/>
      <c r="G452" s="306"/>
      <c r="H452" s="307"/>
      <c r="I452" s="306"/>
      <c r="J452" s="308"/>
      <c r="K452" s="304"/>
      <c r="L452" s="305"/>
      <c r="M452" s="305"/>
      <c r="N452" s="306"/>
      <c r="O452" s="306"/>
      <c r="P452" s="307"/>
      <c r="Q452" s="306"/>
      <c r="R452" s="328"/>
    </row>
    <row r="453" spans="1:18">
      <c r="A453" s="309"/>
      <c r="B453" s="431"/>
      <c r="C453" s="310"/>
      <c r="D453" s="311"/>
      <c r="E453" s="312"/>
      <c r="F453" s="312"/>
      <c r="G453" s="312"/>
      <c r="H453" s="313"/>
      <c r="I453" s="312"/>
      <c r="J453" s="302"/>
      <c r="K453" s="310"/>
      <c r="L453" s="311"/>
      <c r="M453" s="311"/>
      <c r="N453" s="312"/>
      <c r="O453" s="312"/>
      <c r="P453" s="313"/>
      <c r="Q453" s="312"/>
      <c r="R453" s="327"/>
    </row>
    <row r="454" spans="1:18">
      <c r="A454" s="303"/>
      <c r="B454" s="430"/>
      <c r="C454" s="304"/>
      <c r="D454" s="305"/>
      <c r="E454" s="306"/>
      <c r="F454" s="306"/>
      <c r="G454" s="306"/>
      <c r="H454" s="307"/>
      <c r="I454" s="306"/>
      <c r="J454" s="308"/>
      <c r="K454" s="304"/>
      <c r="L454" s="305"/>
      <c r="M454" s="305"/>
      <c r="N454" s="306"/>
      <c r="O454" s="306"/>
      <c r="P454" s="307"/>
      <c r="Q454" s="306"/>
      <c r="R454" s="328"/>
    </row>
    <row r="455" spans="1:18">
      <c r="A455" s="309"/>
      <c r="B455" s="431"/>
      <c r="C455" s="310"/>
      <c r="D455" s="311"/>
      <c r="E455" s="312"/>
      <c r="F455" s="312"/>
      <c r="G455" s="312"/>
      <c r="H455" s="313"/>
      <c r="I455" s="312"/>
      <c r="J455" s="302"/>
      <c r="K455" s="310"/>
      <c r="L455" s="311"/>
      <c r="M455" s="311"/>
      <c r="N455" s="312"/>
      <c r="O455" s="312"/>
      <c r="P455" s="313"/>
      <c r="Q455" s="312"/>
      <c r="R455" s="327"/>
    </row>
    <row r="456" spans="1:18">
      <c r="A456" s="303"/>
      <c r="B456" s="430"/>
      <c r="C456" s="304"/>
      <c r="D456" s="305"/>
      <c r="E456" s="306"/>
      <c r="F456" s="306"/>
      <c r="G456" s="306"/>
      <c r="H456" s="307"/>
      <c r="I456" s="306"/>
      <c r="J456" s="308"/>
      <c r="K456" s="304"/>
      <c r="L456" s="305"/>
      <c r="M456" s="305"/>
      <c r="N456" s="306"/>
      <c r="O456" s="306"/>
      <c r="P456" s="307"/>
      <c r="Q456" s="306"/>
      <c r="R456" s="328"/>
    </row>
    <row r="457" spans="1:18">
      <c r="A457" s="309"/>
      <c r="B457" s="431"/>
      <c r="C457" s="310"/>
      <c r="D457" s="311"/>
      <c r="E457" s="312"/>
      <c r="F457" s="312"/>
      <c r="G457" s="312"/>
      <c r="H457" s="313"/>
      <c r="I457" s="312"/>
      <c r="J457" s="302"/>
      <c r="K457" s="310"/>
      <c r="L457" s="311"/>
      <c r="M457" s="311"/>
      <c r="N457" s="312"/>
      <c r="O457" s="312"/>
      <c r="P457" s="313"/>
      <c r="Q457" s="312"/>
      <c r="R457" s="327"/>
    </row>
    <row r="458" spans="1:18">
      <c r="A458" s="303"/>
      <c r="B458" s="430"/>
      <c r="C458" s="304"/>
      <c r="D458" s="305"/>
      <c r="E458" s="306"/>
      <c r="F458" s="306"/>
      <c r="G458" s="306"/>
      <c r="H458" s="307"/>
      <c r="I458" s="306"/>
      <c r="J458" s="308"/>
      <c r="K458" s="304"/>
      <c r="L458" s="305"/>
      <c r="M458" s="305"/>
      <c r="N458" s="306"/>
      <c r="O458" s="306"/>
      <c r="P458" s="307"/>
      <c r="Q458" s="306"/>
      <c r="R458" s="328"/>
    </row>
    <row r="459" spans="1:18">
      <c r="A459" s="309"/>
      <c r="B459" s="431"/>
      <c r="C459" s="310"/>
      <c r="D459" s="311"/>
      <c r="E459" s="312"/>
      <c r="F459" s="312"/>
      <c r="G459" s="312"/>
      <c r="H459" s="313"/>
      <c r="I459" s="312"/>
      <c r="J459" s="302"/>
      <c r="K459" s="310"/>
      <c r="L459" s="311"/>
      <c r="M459" s="311"/>
      <c r="N459" s="312"/>
      <c r="O459" s="312"/>
      <c r="P459" s="313"/>
      <c r="Q459" s="312"/>
      <c r="R459" s="327"/>
    </row>
    <row r="460" spans="1:18">
      <c r="A460" s="303"/>
      <c r="B460" s="430"/>
      <c r="C460" s="304"/>
      <c r="D460" s="305"/>
      <c r="E460" s="306"/>
      <c r="F460" s="306"/>
      <c r="G460" s="306"/>
      <c r="H460" s="307"/>
      <c r="I460" s="306"/>
      <c r="J460" s="308"/>
      <c r="K460" s="304"/>
      <c r="L460" s="305"/>
      <c r="M460" s="305"/>
      <c r="N460" s="306"/>
      <c r="O460" s="306"/>
      <c r="P460" s="307"/>
      <c r="Q460" s="306"/>
      <c r="R460" s="328"/>
    </row>
    <row r="461" spans="1:18">
      <c r="A461" s="309"/>
      <c r="B461" s="431"/>
      <c r="C461" s="310"/>
      <c r="D461" s="311"/>
      <c r="E461" s="312"/>
      <c r="F461" s="312"/>
      <c r="G461" s="312"/>
      <c r="H461" s="313"/>
      <c r="I461" s="312"/>
      <c r="J461" s="302"/>
      <c r="K461" s="310"/>
      <c r="L461" s="311"/>
      <c r="M461" s="311"/>
      <c r="N461" s="312"/>
      <c r="O461" s="312"/>
      <c r="P461" s="313"/>
      <c r="Q461" s="312"/>
      <c r="R461" s="327"/>
    </row>
    <row r="462" spans="1:18">
      <c r="A462" s="303"/>
      <c r="B462" s="430"/>
      <c r="C462" s="304"/>
      <c r="D462" s="305"/>
      <c r="E462" s="306"/>
      <c r="F462" s="306"/>
      <c r="G462" s="306"/>
      <c r="H462" s="307"/>
      <c r="I462" s="306"/>
      <c r="J462" s="308"/>
      <c r="K462" s="304"/>
      <c r="L462" s="305"/>
      <c r="M462" s="305"/>
      <c r="N462" s="306"/>
      <c r="O462" s="306"/>
      <c r="P462" s="307"/>
      <c r="Q462" s="306"/>
      <c r="R462" s="328"/>
    </row>
    <row r="463" spans="1:18">
      <c r="A463" s="309"/>
      <c r="B463" s="431"/>
      <c r="C463" s="310"/>
      <c r="D463" s="311"/>
      <c r="E463" s="312"/>
      <c r="F463" s="312"/>
      <c r="G463" s="312"/>
      <c r="H463" s="313"/>
      <c r="I463" s="312"/>
      <c r="J463" s="302"/>
      <c r="K463" s="310"/>
      <c r="L463" s="311"/>
      <c r="M463" s="311"/>
      <c r="N463" s="312"/>
      <c r="O463" s="312"/>
      <c r="P463" s="313"/>
      <c r="Q463" s="312"/>
      <c r="R463" s="327"/>
    </row>
    <row r="464" spans="1:18">
      <c r="A464" s="303"/>
      <c r="B464" s="430"/>
      <c r="C464" s="304"/>
      <c r="D464" s="305"/>
      <c r="E464" s="306"/>
      <c r="F464" s="306"/>
      <c r="G464" s="306"/>
      <c r="H464" s="307"/>
      <c r="I464" s="306"/>
      <c r="J464" s="308"/>
      <c r="K464" s="304"/>
      <c r="L464" s="305"/>
      <c r="M464" s="305"/>
      <c r="N464" s="306"/>
      <c r="O464" s="306"/>
      <c r="P464" s="307"/>
      <c r="Q464" s="306"/>
      <c r="R464" s="328"/>
    </row>
    <row r="465" spans="1:18">
      <c r="A465" s="309"/>
      <c r="B465" s="431"/>
      <c r="C465" s="310"/>
      <c r="D465" s="311"/>
      <c r="E465" s="312"/>
      <c r="F465" s="312"/>
      <c r="G465" s="312"/>
      <c r="H465" s="313"/>
      <c r="I465" s="312"/>
      <c r="J465" s="302"/>
      <c r="K465" s="310"/>
      <c r="L465" s="311"/>
      <c r="M465" s="311"/>
      <c r="N465" s="312"/>
      <c r="O465" s="312"/>
      <c r="P465" s="313"/>
      <c r="Q465" s="312"/>
      <c r="R465" s="327"/>
    </row>
    <row r="466" spans="1:18">
      <c r="A466" s="303"/>
      <c r="B466" s="430"/>
      <c r="C466" s="304"/>
      <c r="D466" s="305"/>
      <c r="E466" s="306"/>
      <c r="F466" s="306"/>
      <c r="G466" s="306"/>
      <c r="H466" s="307"/>
      <c r="I466" s="306"/>
      <c r="J466" s="308"/>
      <c r="K466" s="304"/>
      <c r="L466" s="305"/>
      <c r="M466" s="305"/>
      <c r="N466" s="306"/>
      <c r="O466" s="306"/>
      <c r="P466" s="307"/>
      <c r="Q466" s="306"/>
      <c r="R466" s="328"/>
    </row>
    <row r="467" spans="1:18">
      <c r="A467" s="309"/>
      <c r="B467" s="431"/>
      <c r="C467" s="310"/>
      <c r="D467" s="311"/>
      <c r="E467" s="312"/>
      <c r="F467" s="312"/>
      <c r="G467" s="312"/>
      <c r="H467" s="313"/>
      <c r="I467" s="312"/>
      <c r="J467" s="302"/>
      <c r="K467" s="310"/>
      <c r="L467" s="311"/>
      <c r="M467" s="311"/>
      <c r="N467" s="312"/>
      <c r="O467" s="312"/>
      <c r="P467" s="313"/>
      <c r="Q467" s="312"/>
      <c r="R467" s="327"/>
    </row>
    <row r="468" spans="1:18">
      <c r="A468" s="303"/>
      <c r="B468" s="430"/>
      <c r="C468" s="304"/>
      <c r="D468" s="305"/>
      <c r="E468" s="306"/>
      <c r="F468" s="306"/>
      <c r="G468" s="306"/>
      <c r="H468" s="307"/>
      <c r="I468" s="306"/>
      <c r="J468" s="308"/>
      <c r="K468" s="304"/>
      <c r="L468" s="305"/>
      <c r="M468" s="305"/>
      <c r="N468" s="306"/>
      <c r="O468" s="306"/>
      <c r="P468" s="307"/>
      <c r="Q468" s="306"/>
      <c r="R468" s="328"/>
    </row>
    <row r="469" spans="1:18">
      <c r="A469" s="309"/>
      <c r="B469" s="431"/>
      <c r="C469" s="310"/>
      <c r="D469" s="311"/>
      <c r="E469" s="312"/>
      <c r="F469" s="312"/>
      <c r="G469" s="312"/>
      <c r="H469" s="313"/>
      <c r="I469" s="312"/>
      <c r="J469" s="302"/>
      <c r="K469" s="310"/>
      <c r="L469" s="311"/>
      <c r="M469" s="311"/>
      <c r="N469" s="312"/>
      <c r="O469" s="312"/>
      <c r="P469" s="313"/>
      <c r="Q469" s="312"/>
      <c r="R469" s="327"/>
    </row>
    <row r="470" spans="1:18">
      <c r="A470" s="303"/>
      <c r="B470" s="430"/>
      <c r="C470" s="304"/>
      <c r="D470" s="305"/>
      <c r="E470" s="306"/>
      <c r="F470" s="306"/>
      <c r="G470" s="306"/>
      <c r="H470" s="307"/>
      <c r="I470" s="306"/>
      <c r="J470" s="308"/>
      <c r="K470" s="304"/>
      <c r="L470" s="305"/>
      <c r="M470" s="305"/>
      <c r="N470" s="306"/>
      <c r="O470" s="306"/>
      <c r="P470" s="307"/>
      <c r="Q470" s="306"/>
      <c r="R470" s="328"/>
    </row>
    <row r="471" spans="1:18">
      <c r="A471" s="309"/>
      <c r="B471" s="431"/>
      <c r="C471" s="310"/>
      <c r="D471" s="311"/>
      <c r="E471" s="312"/>
      <c r="F471" s="312"/>
      <c r="G471" s="312"/>
      <c r="H471" s="313"/>
      <c r="I471" s="312"/>
      <c r="J471" s="302"/>
      <c r="K471" s="310"/>
      <c r="L471" s="311"/>
      <c r="M471" s="311"/>
      <c r="N471" s="312"/>
      <c r="O471" s="312"/>
      <c r="P471" s="313"/>
      <c r="Q471" s="312"/>
      <c r="R471" s="327"/>
    </row>
    <row r="472" spans="1:18">
      <c r="A472" s="303"/>
      <c r="B472" s="430"/>
      <c r="C472" s="304"/>
      <c r="D472" s="305"/>
      <c r="E472" s="306"/>
      <c r="F472" s="306"/>
      <c r="G472" s="306"/>
      <c r="H472" s="307"/>
      <c r="I472" s="306"/>
      <c r="J472" s="308"/>
      <c r="K472" s="304"/>
      <c r="L472" s="305"/>
      <c r="M472" s="305"/>
      <c r="N472" s="306"/>
      <c r="O472" s="306"/>
      <c r="P472" s="307"/>
      <c r="Q472" s="306"/>
      <c r="R472" s="328"/>
    </row>
    <row r="473" spans="1:18">
      <c r="A473" s="309"/>
      <c r="B473" s="431"/>
      <c r="C473" s="310"/>
      <c r="D473" s="311"/>
      <c r="E473" s="312"/>
      <c r="F473" s="312"/>
      <c r="G473" s="312"/>
      <c r="H473" s="313"/>
      <c r="I473" s="312"/>
      <c r="J473" s="302"/>
      <c r="K473" s="310"/>
      <c r="L473" s="311"/>
      <c r="M473" s="311"/>
      <c r="N473" s="312"/>
      <c r="O473" s="312"/>
      <c r="P473" s="313"/>
      <c r="Q473" s="312"/>
      <c r="R473" s="327"/>
    </row>
    <row r="474" spans="1:18">
      <c r="A474" s="303"/>
      <c r="B474" s="430"/>
      <c r="C474" s="304"/>
      <c r="D474" s="305"/>
      <c r="E474" s="306"/>
      <c r="F474" s="306"/>
      <c r="G474" s="306"/>
      <c r="H474" s="307"/>
      <c r="I474" s="306"/>
      <c r="J474" s="308"/>
      <c r="K474" s="304"/>
      <c r="L474" s="305"/>
      <c r="M474" s="305"/>
      <c r="N474" s="306"/>
      <c r="O474" s="306"/>
      <c r="P474" s="307"/>
      <c r="Q474" s="306"/>
      <c r="R474" s="328"/>
    </row>
    <row r="475" spans="1:18">
      <c r="A475" s="309"/>
      <c r="B475" s="431"/>
      <c r="C475" s="310"/>
      <c r="D475" s="311"/>
      <c r="E475" s="312"/>
      <c r="F475" s="312"/>
      <c r="G475" s="312"/>
      <c r="H475" s="313"/>
      <c r="I475" s="312"/>
      <c r="J475" s="302"/>
      <c r="K475" s="310"/>
      <c r="L475" s="311"/>
      <c r="M475" s="311"/>
      <c r="N475" s="312"/>
      <c r="O475" s="312"/>
      <c r="P475" s="313"/>
      <c r="Q475" s="312"/>
      <c r="R475" s="327"/>
    </row>
    <row r="476" spans="1:18">
      <c r="A476" s="303"/>
      <c r="B476" s="430"/>
      <c r="C476" s="304"/>
      <c r="D476" s="305"/>
      <c r="E476" s="306"/>
      <c r="F476" s="306"/>
      <c r="G476" s="306"/>
      <c r="H476" s="307"/>
      <c r="I476" s="306"/>
      <c r="J476" s="308"/>
      <c r="K476" s="304"/>
      <c r="L476" s="305"/>
      <c r="M476" s="305"/>
      <c r="N476" s="306"/>
      <c r="O476" s="306"/>
      <c r="P476" s="307"/>
      <c r="Q476" s="306"/>
      <c r="R476" s="328"/>
    </row>
    <row r="477" spans="1:18">
      <c r="A477" s="309"/>
      <c r="B477" s="431"/>
      <c r="C477" s="310"/>
      <c r="D477" s="311"/>
      <c r="E477" s="312"/>
      <c r="F477" s="312"/>
      <c r="G477" s="312"/>
      <c r="H477" s="313"/>
      <c r="I477" s="312"/>
      <c r="J477" s="302"/>
      <c r="K477" s="310"/>
      <c r="L477" s="311"/>
      <c r="M477" s="311"/>
      <c r="N477" s="312"/>
      <c r="O477" s="312"/>
      <c r="P477" s="313"/>
      <c r="Q477" s="312"/>
      <c r="R477" s="327"/>
    </row>
    <row r="478" spans="1:18">
      <c r="A478" s="303"/>
      <c r="B478" s="430"/>
      <c r="C478" s="304"/>
      <c r="D478" s="305"/>
      <c r="E478" s="306"/>
      <c r="F478" s="306"/>
      <c r="G478" s="306"/>
      <c r="H478" s="307"/>
      <c r="I478" s="306"/>
      <c r="J478" s="308"/>
      <c r="K478" s="304"/>
      <c r="L478" s="305"/>
      <c r="M478" s="305"/>
      <c r="N478" s="306"/>
      <c r="O478" s="306"/>
      <c r="P478" s="307"/>
      <c r="Q478" s="306"/>
      <c r="R478" s="328"/>
    </row>
    <row r="479" spans="1:18">
      <c r="A479" s="309"/>
      <c r="B479" s="431"/>
      <c r="C479" s="310"/>
      <c r="D479" s="311"/>
      <c r="E479" s="312"/>
      <c r="F479" s="312"/>
      <c r="G479" s="312"/>
      <c r="H479" s="313"/>
      <c r="I479" s="312"/>
      <c r="J479" s="302"/>
      <c r="K479" s="310"/>
      <c r="L479" s="311"/>
      <c r="M479" s="311"/>
      <c r="N479" s="312"/>
      <c r="O479" s="312"/>
      <c r="P479" s="313"/>
      <c r="Q479" s="312"/>
      <c r="R479" s="327"/>
    </row>
    <row r="480" spans="1:18">
      <c r="A480" s="303"/>
      <c r="B480" s="430"/>
      <c r="C480" s="304"/>
      <c r="D480" s="305"/>
      <c r="E480" s="306"/>
      <c r="F480" s="306"/>
      <c r="G480" s="306"/>
      <c r="H480" s="307"/>
      <c r="I480" s="306"/>
      <c r="J480" s="308"/>
      <c r="K480" s="304"/>
      <c r="L480" s="305"/>
      <c r="M480" s="305"/>
      <c r="N480" s="306"/>
      <c r="O480" s="306"/>
      <c r="P480" s="307"/>
      <c r="Q480" s="306"/>
      <c r="R480" s="328"/>
    </row>
    <row r="481" spans="1:18">
      <c r="A481" s="309"/>
      <c r="B481" s="431"/>
      <c r="C481" s="310"/>
      <c r="D481" s="311"/>
      <c r="E481" s="312"/>
      <c r="F481" s="312"/>
      <c r="G481" s="312"/>
      <c r="H481" s="313"/>
      <c r="I481" s="312"/>
      <c r="J481" s="302"/>
      <c r="K481" s="310"/>
      <c r="L481" s="311"/>
      <c r="M481" s="311"/>
      <c r="N481" s="312"/>
      <c r="O481" s="312"/>
      <c r="P481" s="313"/>
      <c r="Q481" s="312"/>
      <c r="R481" s="327"/>
    </row>
    <row r="482" spans="1:18">
      <c r="A482" s="303"/>
      <c r="B482" s="430"/>
      <c r="C482" s="304"/>
      <c r="D482" s="305"/>
      <c r="E482" s="306"/>
      <c r="F482" s="306"/>
      <c r="G482" s="306"/>
      <c r="H482" s="307"/>
      <c r="I482" s="306"/>
      <c r="J482" s="308"/>
      <c r="K482" s="304"/>
      <c r="L482" s="305"/>
      <c r="M482" s="305"/>
      <c r="N482" s="306"/>
      <c r="O482" s="306"/>
      <c r="P482" s="307"/>
      <c r="Q482" s="306"/>
      <c r="R482" s="328"/>
    </row>
    <row r="483" spans="1:18">
      <c r="A483" s="309"/>
      <c r="B483" s="431"/>
      <c r="C483" s="310"/>
      <c r="D483" s="311"/>
      <c r="E483" s="312"/>
      <c r="F483" s="312"/>
      <c r="G483" s="312"/>
      <c r="H483" s="313"/>
      <c r="I483" s="312"/>
      <c r="J483" s="302"/>
      <c r="K483" s="310"/>
      <c r="L483" s="311"/>
      <c r="M483" s="311"/>
      <c r="N483" s="312"/>
      <c r="O483" s="312"/>
      <c r="P483" s="313"/>
      <c r="Q483" s="312"/>
      <c r="R483" s="327"/>
    </row>
    <row r="484" spans="1:18">
      <c r="A484" s="303"/>
      <c r="B484" s="430"/>
      <c r="C484" s="304"/>
      <c r="D484" s="305"/>
      <c r="E484" s="306"/>
      <c r="F484" s="306"/>
      <c r="G484" s="306"/>
      <c r="H484" s="307"/>
      <c r="I484" s="306"/>
      <c r="J484" s="308"/>
      <c r="K484" s="304"/>
      <c r="L484" s="305"/>
      <c r="M484" s="305"/>
      <c r="N484" s="306"/>
      <c r="O484" s="306"/>
      <c r="P484" s="307"/>
      <c r="Q484" s="306"/>
      <c r="R484" s="328"/>
    </row>
    <row r="485" spans="1:18">
      <c r="A485" s="309"/>
      <c r="B485" s="431"/>
      <c r="C485" s="310"/>
      <c r="D485" s="311"/>
      <c r="E485" s="312"/>
      <c r="F485" s="312"/>
      <c r="G485" s="312"/>
      <c r="H485" s="313"/>
      <c r="I485" s="312"/>
      <c r="J485" s="302"/>
      <c r="K485" s="310"/>
      <c r="L485" s="311"/>
      <c r="M485" s="311"/>
      <c r="N485" s="312"/>
      <c r="O485" s="312"/>
      <c r="P485" s="313"/>
      <c r="Q485" s="312"/>
      <c r="R485" s="327"/>
    </row>
    <row r="486" spans="1:18">
      <c r="A486" s="303"/>
      <c r="B486" s="430"/>
      <c r="C486" s="304"/>
      <c r="D486" s="305"/>
      <c r="E486" s="306"/>
      <c r="F486" s="306"/>
      <c r="G486" s="306"/>
      <c r="H486" s="307"/>
      <c r="I486" s="306"/>
      <c r="J486" s="308"/>
      <c r="K486" s="304"/>
      <c r="L486" s="305"/>
      <c r="M486" s="305"/>
      <c r="N486" s="306"/>
      <c r="O486" s="306"/>
      <c r="P486" s="307"/>
      <c r="Q486" s="306"/>
      <c r="R486" s="328"/>
    </row>
    <row r="487" spans="1:18">
      <c r="A487" s="309"/>
      <c r="B487" s="431"/>
      <c r="C487" s="310"/>
      <c r="D487" s="311"/>
      <c r="E487" s="312"/>
      <c r="F487" s="312"/>
      <c r="G487" s="312"/>
      <c r="H487" s="313"/>
      <c r="I487" s="312"/>
      <c r="J487" s="302"/>
      <c r="K487" s="310"/>
      <c r="L487" s="311"/>
      <c r="M487" s="311"/>
      <c r="N487" s="312"/>
      <c r="O487" s="312"/>
      <c r="P487" s="313"/>
      <c r="Q487" s="312"/>
      <c r="R487" s="327"/>
    </row>
    <row r="488" spans="1:18">
      <c r="A488" s="303"/>
      <c r="B488" s="430"/>
      <c r="C488" s="304"/>
      <c r="D488" s="305"/>
      <c r="E488" s="306"/>
      <c r="F488" s="306"/>
      <c r="G488" s="306"/>
      <c r="H488" s="307"/>
      <c r="I488" s="306"/>
      <c r="J488" s="308"/>
      <c r="K488" s="304"/>
      <c r="L488" s="305"/>
      <c r="M488" s="305"/>
      <c r="N488" s="306"/>
      <c r="O488" s="306"/>
      <c r="P488" s="307"/>
      <c r="Q488" s="306"/>
      <c r="R488" s="328"/>
    </row>
    <row r="489" spans="1:18">
      <c r="A489" s="309"/>
      <c r="B489" s="431"/>
      <c r="C489" s="310"/>
      <c r="D489" s="311"/>
      <c r="E489" s="312"/>
      <c r="F489" s="312"/>
      <c r="G489" s="312"/>
      <c r="H489" s="313"/>
      <c r="I489" s="312"/>
      <c r="J489" s="302"/>
      <c r="K489" s="310"/>
      <c r="L489" s="311"/>
      <c r="M489" s="311"/>
      <c r="N489" s="312"/>
      <c r="O489" s="312"/>
      <c r="P489" s="313"/>
      <c r="Q489" s="312"/>
      <c r="R489" s="327"/>
    </row>
    <row r="490" spans="1:18">
      <c r="A490" s="303"/>
      <c r="B490" s="430"/>
      <c r="C490" s="304"/>
      <c r="D490" s="305"/>
      <c r="E490" s="306"/>
      <c r="F490" s="306"/>
      <c r="G490" s="306"/>
      <c r="H490" s="307"/>
      <c r="I490" s="306"/>
      <c r="J490" s="308"/>
      <c r="K490" s="304"/>
      <c r="L490" s="305"/>
      <c r="M490" s="305"/>
      <c r="N490" s="306"/>
      <c r="O490" s="306"/>
      <c r="P490" s="307"/>
      <c r="Q490" s="306"/>
      <c r="R490" s="328"/>
    </row>
    <row r="491" spans="1:18">
      <c r="A491" s="309"/>
      <c r="B491" s="431"/>
      <c r="C491" s="310"/>
      <c r="D491" s="311"/>
      <c r="E491" s="312"/>
      <c r="F491" s="312"/>
      <c r="G491" s="312"/>
      <c r="H491" s="313"/>
      <c r="I491" s="312"/>
      <c r="J491" s="302"/>
      <c r="K491" s="310"/>
      <c r="L491" s="311"/>
      <c r="M491" s="311"/>
      <c r="N491" s="312"/>
      <c r="O491" s="312"/>
      <c r="P491" s="313"/>
      <c r="Q491" s="312"/>
      <c r="R491" s="327"/>
    </row>
    <row r="492" spans="1:18">
      <c r="A492" s="303"/>
      <c r="B492" s="430"/>
      <c r="C492" s="304"/>
      <c r="D492" s="305"/>
      <c r="E492" s="306"/>
      <c r="F492" s="306"/>
      <c r="G492" s="306"/>
      <c r="H492" s="307"/>
      <c r="I492" s="306"/>
      <c r="J492" s="308"/>
      <c r="K492" s="304"/>
      <c r="L492" s="305"/>
      <c r="M492" s="305"/>
      <c r="N492" s="306"/>
      <c r="O492" s="306"/>
      <c r="P492" s="307"/>
      <c r="Q492" s="306"/>
      <c r="R492" s="328"/>
    </row>
    <row r="493" spans="1:18">
      <c r="A493" s="309"/>
      <c r="B493" s="431"/>
      <c r="C493" s="310"/>
      <c r="D493" s="311"/>
      <c r="E493" s="312"/>
      <c r="F493" s="312"/>
      <c r="G493" s="312"/>
      <c r="H493" s="313"/>
      <c r="I493" s="312"/>
      <c r="J493" s="302"/>
      <c r="K493" s="310"/>
      <c r="L493" s="311"/>
      <c r="M493" s="311"/>
      <c r="N493" s="312"/>
      <c r="O493" s="312"/>
      <c r="P493" s="313"/>
      <c r="Q493" s="312"/>
      <c r="R493" s="327"/>
    </row>
    <row r="494" spans="1:18">
      <c r="A494" s="303"/>
      <c r="B494" s="430"/>
      <c r="C494" s="304"/>
      <c r="D494" s="305"/>
      <c r="E494" s="306"/>
      <c r="F494" s="306"/>
      <c r="G494" s="306"/>
      <c r="H494" s="307"/>
      <c r="I494" s="306"/>
      <c r="J494" s="308"/>
      <c r="K494" s="304"/>
      <c r="L494" s="305"/>
      <c r="M494" s="305"/>
      <c r="N494" s="306"/>
      <c r="O494" s="306"/>
      <c r="P494" s="307"/>
      <c r="Q494" s="306"/>
      <c r="R494" s="328"/>
    </row>
    <row r="495" spans="1:18">
      <c r="A495" s="309"/>
      <c r="B495" s="431"/>
      <c r="C495" s="310"/>
      <c r="D495" s="311"/>
      <c r="E495" s="312"/>
      <c r="F495" s="312"/>
      <c r="G495" s="312"/>
      <c r="H495" s="313"/>
      <c r="I495" s="312"/>
      <c r="J495" s="302"/>
      <c r="K495" s="310"/>
      <c r="L495" s="311"/>
      <c r="M495" s="311"/>
      <c r="N495" s="312"/>
      <c r="O495" s="312"/>
      <c r="P495" s="313"/>
      <c r="Q495" s="312"/>
      <c r="R495" s="327"/>
    </row>
    <row r="496" spans="1:18">
      <c r="A496" s="303"/>
      <c r="B496" s="430"/>
      <c r="C496" s="304"/>
      <c r="D496" s="305"/>
      <c r="E496" s="306"/>
      <c r="F496" s="306"/>
      <c r="G496" s="306"/>
      <c r="H496" s="307"/>
      <c r="I496" s="306"/>
      <c r="J496" s="308"/>
      <c r="K496" s="304"/>
      <c r="L496" s="305"/>
      <c r="M496" s="305"/>
      <c r="N496" s="306"/>
      <c r="O496" s="306"/>
      <c r="P496" s="307"/>
      <c r="Q496" s="306"/>
      <c r="R496" s="328"/>
    </row>
    <row r="497" spans="1:18">
      <c r="A497" s="309"/>
      <c r="B497" s="431"/>
      <c r="C497" s="310"/>
      <c r="D497" s="311"/>
      <c r="E497" s="312"/>
      <c r="F497" s="312"/>
      <c r="G497" s="312"/>
      <c r="H497" s="313"/>
      <c r="I497" s="312"/>
      <c r="J497" s="302"/>
      <c r="K497" s="310"/>
      <c r="L497" s="311"/>
      <c r="M497" s="311"/>
      <c r="N497" s="312"/>
      <c r="O497" s="312"/>
      <c r="P497" s="313"/>
      <c r="Q497" s="312"/>
      <c r="R497" s="327"/>
    </row>
    <row r="498" spans="1:18">
      <c r="A498" s="303"/>
      <c r="B498" s="430"/>
      <c r="C498" s="304"/>
      <c r="D498" s="305"/>
      <c r="E498" s="306"/>
      <c r="F498" s="306"/>
      <c r="G498" s="306"/>
      <c r="H498" s="307"/>
      <c r="I498" s="306"/>
      <c r="J498" s="308"/>
      <c r="K498" s="304"/>
      <c r="L498" s="305"/>
      <c r="M498" s="305"/>
      <c r="N498" s="306"/>
      <c r="O498" s="306"/>
      <c r="P498" s="307"/>
      <c r="Q498" s="306"/>
      <c r="R498" s="328"/>
    </row>
    <row r="499" spans="1:18">
      <c r="A499" s="309"/>
      <c r="B499" s="431"/>
      <c r="C499" s="310"/>
      <c r="D499" s="311"/>
      <c r="E499" s="312"/>
      <c r="F499" s="312"/>
      <c r="G499" s="312"/>
      <c r="H499" s="313"/>
      <c r="I499" s="312"/>
      <c r="J499" s="302"/>
      <c r="K499" s="310"/>
      <c r="L499" s="311"/>
      <c r="M499" s="311"/>
      <c r="N499" s="312"/>
      <c r="O499" s="312"/>
      <c r="P499" s="313"/>
      <c r="Q499" s="312"/>
      <c r="R499" s="327"/>
    </row>
    <row r="500" spans="1:18">
      <c r="A500" s="303"/>
      <c r="B500" s="430"/>
      <c r="C500" s="304"/>
      <c r="D500" s="305"/>
      <c r="E500" s="306"/>
      <c r="F500" s="306"/>
      <c r="G500" s="306"/>
      <c r="H500" s="307"/>
      <c r="I500" s="306"/>
      <c r="J500" s="308"/>
      <c r="K500" s="304"/>
      <c r="L500" s="305"/>
      <c r="M500" s="305"/>
      <c r="N500" s="306"/>
      <c r="O500" s="306"/>
      <c r="P500" s="307"/>
      <c r="Q500" s="306"/>
      <c r="R500" s="328"/>
    </row>
    <row r="501" spans="1:18">
      <c r="A501" s="309"/>
      <c r="B501" s="431"/>
      <c r="C501" s="310"/>
      <c r="D501" s="311"/>
      <c r="E501" s="312"/>
      <c r="F501" s="312"/>
      <c r="G501" s="312"/>
      <c r="H501" s="313"/>
      <c r="I501" s="312"/>
      <c r="J501" s="302"/>
      <c r="K501" s="310"/>
      <c r="L501" s="311"/>
      <c r="M501" s="311"/>
      <c r="N501" s="312"/>
      <c r="O501" s="312"/>
      <c r="P501" s="313"/>
      <c r="Q501" s="312"/>
      <c r="R501" s="327"/>
    </row>
    <row r="502" spans="1:18">
      <c r="A502" s="303"/>
      <c r="B502" s="430"/>
      <c r="C502" s="304"/>
      <c r="D502" s="305"/>
      <c r="E502" s="306"/>
      <c r="F502" s="306"/>
      <c r="G502" s="306"/>
      <c r="H502" s="307"/>
      <c r="I502" s="306"/>
      <c r="J502" s="308"/>
      <c r="K502" s="304"/>
      <c r="L502" s="305"/>
      <c r="M502" s="305"/>
      <c r="N502" s="306"/>
      <c r="O502" s="306"/>
      <c r="P502" s="307"/>
      <c r="Q502" s="306"/>
      <c r="R502" s="328"/>
    </row>
    <row r="503" spans="1:18">
      <c r="A503" s="309"/>
      <c r="B503" s="431"/>
      <c r="C503" s="310"/>
      <c r="D503" s="311"/>
      <c r="E503" s="312"/>
      <c r="F503" s="312"/>
      <c r="G503" s="312"/>
      <c r="H503" s="313"/>
      <c r="I503" s="312"/>
      <c r="J503" s="302"/>
      <c r="K503" s="310"/>
      <c r="L503" s="311"/>
      <c r="M503" s="311"/>
      <c r="N503" s="312"/>
      <c r="O503" s="312"/>
      <c r="P503" s="313"/>
      <c r="Q503" s="312"/>
      <c r="R503" s="327"/>
    </row>
    <row r="504" spans="1:18">
      <c r="A504" s="303"/>
      <c r="B504" s="430"/>
      <c r="C504" s="304"/>
      <c r="D504" s="305"/>
      <c r="E504" s="306"/>
      <c r="F504" s="306"/>
      <c r="G504" s="306"/>
      <c r="H504" s="307"/>
      <c r="I504" s="306"/>
      <c r="J504" s="308"/>
      <c r="K504" s="304"/>
      <c r="L504" s="305"/>
      <c r="M504" s="305"/>
      <c r="N504" s="306"/>
      <c r="O504" s="306"/>
      <c r="P504" s="307"/>
      <c r="Q504" s="306"/>
      <c r="R504" s="328"/>
    </row>
    <row r="505" spans="1:18">
      <c r="A505" s="309"/>
      <c r="B505" s="431"/>
      <c r="C505" s="310"/>
      <c r="D505" s="311"/>
      <c r="E505" s="312"/>
      <c r="F505" s="312"/>
      <c r="G505" s="312"/>
      <c r="H505" s="313"/>
      <c r="I505" s="312"/>
      <c r="J505" s="302"/>
      <c r="K505" s="310"/>
      <c r="L505" s="311"/>
      <c r="M505" s="311"/>
      <c r="N505" s="312"/>
      <c r="O505" s="312"/>
      <c r="P505" s="313"/>
      <c r="Q505" s="312"/>
      <c r="R505" s="327"/>
    </row>
    <row r="506" spans="1:18">
      <c r="A506" s="303"/>
      <c r="B506" s="430"/>
      <c r="C506" s="304"/>
      <c r="D506" s="305"/>
      <c r="E506" s="306"/>
      <c r="F506" s="306"/>
      <c r="G506" s="306"/>
      <c r="H506" s="307"/>
      <c r="I506" s="306"/>
      <c r="J506" s="308"/>
      <c r="K506" s="304"/>
      <c r="L506" s="305"/>
      <c r="M506" s="305"/>
      <c r="N506" s="306"/>
      <c r="O506" s="306"/>
      <c r="P506" s="307"/>
      <c r="Q506" s="306"/>
      <c r="R506" s="328"/>
    </row>
    <row r="507" spans="1:18">
      <c r="A507" s="309"/>
      <c r="B507" s="431"/>
      <c r="C507" s="310"/>
      <c r="D507" s="311"/>
      <c r="E507" s="312"/>
      <c r="F507" s="312"/>
      <c r="G507" s="312"/>
      <c r="H507" s="313"/>
      <c r="I507" s="312"/>
      <c r="J507" s="302"/>
      <c r="K507" s="310"/>
      <c r="L507" s="311"/>
      <c r="M507" s="311"/>
      <c r="N507" s="312"/>
      <c r="O507" s="312"/>
      <c r="P507" s="313"/>
      <c r="Q507" s="312"/>
      <c r="R507" s="327"/>
    </row>
    <row r="508" spans="1:18">
      <c r="A508" s="303"/>
      <c r="B508" s="430"/>
      <c r="C508" s="304"/>
      <c r="D508" s="305"/>
      <c r="E508" s="306"/>
      <c r="F508" s="306"/>
      <c r="G508" s="306"/>
      <c r="H508" s="307"/>
      <c r="I508" s="306"/>
      <c r="J508" s="308"/>
      <c r="K508" s="304"/>
      <c r="L508" s="305"/>
      <c r="M508" s="305"/>
      <c r="N508" s="306"/>
      <c r="O508" s="306"/>
      <c r="P508" s="307"/>
      <c r="Q508" s="306"/>
      <c r="R508" s="328"/>
    </row>
    <row r="509" spans="1:18">
      <c r="A509" s="309"/>
      <c r="B509" s="431"/>
      <c r="C509" s="310"/>
      <c r="D509" s="311"/>
      <c r="E509" s="312"/>
      <c r="F509" s="312"/>
      <c r="G509" s="312"/>
      <c r="H509" s="313"/>
      <c r="I509" s="312"/>
      <c r="J509" s="302"/>
      <c r="K509" s="310"/>
      <c r="L509" s="311"/>
      <c r="M509" s="311"/>
      <c r="N509" s="312"/>
      <c r="O509" s="312"/>
      <c r="P509" s="313"/>
      <c r="Q509" s="312"/>
      <c r="R509" s="327"/>
    </row>
    <row r="510" spans="1:18">
      <c r="A510" s="303"/>
      <c r="B510" s="430"/>
      <c r="C510" s="304"/>
      <c r="D510" s="305"/>
      <c r="E510" s="306"/>
      <c r="F510" s="306"/>
      <c r="G510" s="306"/>
      <c r="H510" s="307"/>
      <c r="I510" s="306"/>
      <c r="J510" s="308"/>
      <c r="K510" s="304"/>
      <c r="L510" s="305"/>
      <c r="M510" s="305"/>
      <c r="N510" s="306"/>
      <c r="O510" s="306"/>
      <c r="P510" s="307"/>
      <c r="Q510" s="306"/>
      <c r="R510" s="328"/>
    </row>
    <row r="511" spans="1:18">
      <c r="A511" s="309"/>
      <c r="B511" s="431"/>
      <c r="C511" s="310"/>
      <c r="D511" s="311"/>
      <c r="E511" s="312"/>
      <c r="F511" s="312"/>
      <c r="G511" s="312"/>
      <c r="H511" s="313"/>
      <c r="I511" s="312"/>
      <c r="J511" s="302"/>
      <c r="K511" s="310"/>
      <c r="L511" s="311"/>
      <c r="M511" s="311"/>
      <c r="N511" s="312"/>
      <c r="O511" s="312"/>
      <c r="P511" s="313"/>
      <c r="Q511" s="312"/>
      <c r="R511" s="327"/>
    </row>
    <row r="512" spans="1:18">
      <c r="A512" s="303"/>
      <c r="B512" s="430"/>
      <c r="C512" s="304"/>
      <c r="D512" s="305"/>
      <c r="E512" s="306"/>
      <c r="F512" s="306"/>
      <c r="G512" s="306"/>
      <c r="H512" s="307"/>
      <c r="I512" s="306"/>
      <c r="J512" s="308"/>
      <c r="K512" s="304"/>
      <c r="L512" s="305"/>
      <c r="M512" s="305"/>
      <c r="N512" s="306"/>
      <c r="O512" s="306"/>
      <c r="P512" s="307"/>
      <c r="Q512" s="306"/>
      <c r="R512" s="328"/>
    </row>
    <row r="513" spans="1:18">
      <c r="A513" s="309"/>
      <c r="B513" s="431"/>
      <c r="C513" s="310"/>
      <c r="D513" s="311"/>
      <c r="E513" s="312"/>
      <c r="F513" s="312"/>
      <c r="G513" s="312"/>
      <c r="H513" s="313"/>
      <c r="I513" s="312"/>
      <c r="J513" s="302"/>
      <c r="K513" s="310"/>
      <c r="L513" s="311"/>
      <c r="M513" s="311"/>
      <c r="N513" s="312"/>
      <c r="O513" s="312"/>
      <c r="P513" s="313"/>
      <c r="Q513" s="312"/>
      <c r="R513" s="327"/>
    </row>
    <row r="514" spans="1:18">
      <c r="A514" s="303"/>
      <c r="B514" s="430"/>
      <c r="C514" s="304"/>
      <c r="D514" s="305"/>
      <c r="E514" s="306"/>
      <c r="F514" s="306"/>
      <c r="G514" s="306"/>
      <c r="H514" s="307"/>
      <c r="I514" s="306"/>
      <c r="J514" s="308"/>
      <c r="K514" s="304"/>
      <c r="L514" s="305"/>
      <c r="M514" s="305"/>
      <c r="N514" s="306"/>
      <c r="O514" s="306"/>
      <c r="P514" s="307"/>
      <c r="Q514" s="306"/>
      <c r="R514" s="328"/>
    </row>
    <row r="515" spans="1:18">
      <c r="A515" s="309"/>
      <c r="B515" s="431"/>
      <c r="C515" s="310"/>
      <c r="D515" s="311"/>
      <c r="E515" s="312"/>
      <c r="F515" s="312"/>
      <c r="G515" s="312"/>
      <c r="H515" s="313"/>
      <c r="I515" s="312"/>
      <c r="J515" s="302"/>
      <c r="K515" s="310"/>
      <c r="L515" s="311"/>
      <c r="M515" s="311"/>
      <c r="N515" s="312"/>
      <c r="O515" s="312"/>
      <c r="P515" s="313"/>
      <c r="Q515" s="312"/>
      <c r="R515" s="327"/>
    </row>
    <row r="516" spans="1:18" ht="15" thickBot="1">
      <c r="A516" s="316"/>
      <c r="B516" s="437"/>
      <c r="C516" s="304"/>
      <c r="D516" s="305"/>
      <c r="E516" s="306"/>
      <c r="F516" s="306"/>
      <c r="G516" s="306"/>
      <c r="H516" s="307"/>
      <c r="I516" s="306"/>
      <c r="J516" s="308"/>
      <c r="K516" s="304"/>
      <c r="L516" s="305"/>
      <c r="M516" s="305"/>
      <c r="N516" s="306"/>
      <c r="O516" s="306"/>
      <c r="P516" s="307"/>
      <c r="Q516" s="306"/>
      <c r="R516" s="328"/>
    </row>
    <row r="517" spans="1:18">
      <c r="A517" s="317"/>
      <c r="B517" s="317"/>
      <c r="C517" s="318"/>
      <c r="D517" s="319"/>
      <c r="E517" s="317"/>
      <c r="F517" s="317"/>
      <c r="G517" s="317"/>
      <c r="H517" s="320"/>
      <c r="I517" s="317"/>
      <c r="J517" s="317"/>
      <c r="K517" s="318"/>
      <c r="L517" s="319"/>
      <c r="M517" s="319"/>
      <c r="N517" s="317"/>
      <c r="O517" s="317"/>
      <c r="P517" s="320"/>
      <c r="Q517" s="317"/>
      <c r="R517" s="319"/>
    </row>
    <row r="518" spans="1:18">
      <c r="A518" s="317"/>
      <c r="B518" s="317"/>
      <c r="C518" s="318"/>
      <c r="D518" s="319"/>
      <c r="E518" s="317"/>
      <c r="F518" s="317"/>
      <c r="G518" s="317"/>
      <c r="H518" s="320"/>
      <c r="I518" s="317"/>
      <c r="J518" s="317"/>
      <c r="K518" s="318"/>
      <c r="L518" s="319"/>
      <c r="M518" s="319"/>
      <c r="N518" s="317"/>
      <c r="O518" s="317"/>
      <c r="P518" s="320"/>
      <c r="Q518" s="317"/>
      <c r="R518" s="319"/>
    </row>
    <row r="519" spans="1:18">
      <c r="A519" s="317"/>
      <c r="B519" s="317"/>
      <c r="C519" s="318"/>
      <c r="D519" s="319"/>
      <c r="E519" s="317"/>
      <c r="F519" s="317"/>
      <c r="G519" s="317"/>
      <c r="H519" s="320"/>
      <c r="I519" s="317"/>
      <c r="J519" s="317"/>
      <c r="K519" s="318"/>
      <c r="L519" s="319"/>
      <c r="M519" s="319"/>
      <c r="N519" s="317"/>
      <c r="O519" s="317"/>
      <c r="P519" s="320"/>
      <c r="Q519" s="317"/>
      <c r="R519" s="319"/>
    </row>
    <row r="520" spans="1:18" ht="15.5">
      <c r="A520" s="321"/>
      <c r="B520" s="321"/>
      <c r="C520" s="322"/>
      <c r="D520" s="323">
        <f>SUM(D4:D519)</f>
        <v>4206</v>
      </c>
      <c r="E520" s="321"/>
      <c r="F520" s="321"/>
      <c r="G520" s="321"/>
      <c r="H520" s="324"/>
      <c r="I520" s="321"/>
      <c r="J520" s="321"/>
      <c r="K520" s="322"/>
      <c r="L520" s="323">
        <f>SUM(L4:L519)</f>
        <v>2373</v>
      </c>
      <c r="M520" s="323"/>
      <c r="N520" s="321"/>
      <c r="O520" s="321"/>
      <c r="P520" s="324"/>
      <c r="Q520" s="321"/>
      <c r="R520" s="323">
        <f>SUM(R4:R519)</f>
        <v>247</v>
      </c>
    </row>
  </sheetData>
  <mergeCells count="21">
    <mergeCell ref="A18:A19"/>
    <mergeCell ref="C18:C19"/>
    <mergeCell ref="D18:D19"/>
    <mergeCell ref="E18:E19"/>
    <mergeCell ref="F18:F19"/>
    <mergeCell ref="G37:G38"/>
    <mergeCell ref="H37:H38"/>
    <mergeCell ref="C1:R1"/>
    <mergeCell ref="C2:J2"/>
    <mergeCell ref="K2:Q2"/>
    <mergeCell ref="G18:G19"/>
    <mergeCell ref="I37:I38"/>
    <mergeCell ref="J37:J38"/>
    <mergeCell ref="H18:H19"/>
    <mergeCell ref="I18:I19"/>
    <mergeCell ref="J18:J19"/>
    <mergeCell ref="A37:A38"/>
    <mergeCell ref="C37:C38"/>
    <mergeCell ref="D37:D38"/>
    <mergeCell ref="E37:E38"/>
    <mergeCell ref="F37:F38"/>
  </mergeCells>
  <phoneticPr fontId="29"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7353EE3B-1733-4FE0-A7DB-66262CA70AAE}">
          <x14:formula1>
            <xm:f>'Intern Deploy-Planning TKR DV'!$C$3:$C$5</xm:f>
          </x14:formula1>
          <xm:sqref>K4:K49 C62:C1048576 C4:C49 C2 K2 K62:K1048576</xm:sqref>
        </x14:dataValidation>
        <x14:dataValidation type="list" allowBlank="1" showInputMessage="1" showErrorMessage="1" xr:uid="{9AFEBF5C-BC80-4836-AD61-62C7F77BB587}">
          <x14:formula1>
            <xm:f>'Intern Deploy-Planning TKR DV'!$E$3:$E$7</xm:f>
          </x14:formula1>
          <xm:sqref>E4:E49 M4:M49 E62:E1048576 M2 E2 M62:M1048576</xm:sqref>
        </x14:dataValidation>
        <x14:dataValidation type="list" allowBlank="1" showInputMessage="1" showErrorMessage="1" xr:uid="{1CB52532-4CD9-4E28-99EF-6C2010762C9D}">
          <x14:formula1>
            <xm:f>'Intern Deploy-Planning TKR DV'!$B$3:$B$20</xm:f>
          </x14:formula1>
          <xm:sqref>A62:B1048576 A1:A49 B4:B49</xm:sqref>
        </x14:dataValidation>
        <x14:dataValidation type="list" allowBlank="1" showInputMessage="1" showErrorMessage="1" xr:uid="{99F1C248-0788-4C90-B9C7-39ED38710BFE}">
          <x14:formula1>
            <xm:f>'Intern Deploy-Planning TKR DV'!$F$3:$F$6</xm:f>
          </x14:formula1>
          <xm:sqref>F4:F49 F62:F1048576 N4:N49 N2 F2 N62:N1048576</xm:sqref>
        </x14:dataValidation>
        <x14:dataValidation type="list" allowBlank="1" showInputMessage="1" showErrorMessage="1" xr:uid="{2269F663-E9B2-4D6C-9DDB-6F3EF7191674}">
          <x14:formula1>
            <xm:f>'Intern Deploy-Planning TKR DV'!$G$3:$G$14</xm:f>
          </x14:formula1>
          <xm:sqref>G4:G49 G62:G1048576 O4:O49 O2 G2 O62:O1048576</xm:sqref>
        </x14:dataValidation>
        <x14:dataValidation type="list" allowBlank="1" showInputMessage="1" showErrorMessage="1" xr:uid="{D618FAD1-BC3D-4E88-AE0F-C3456EBEE139}">
          <x14:formula1>
            <xm:f>'Intern Deploy-Planning TKR DV'!$I$3:$I$5</xm:f>
          </x14:formula1>
          <xm:sqref>I4:I49 I62:I1048576 Q1:Q2 I1:I2 Q4:Q1048576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B3F3-DF55-491D-A4F0-52126B57DE90}">
  <sheetPr codeName="Sheet8"/>
  <dimension ref="A1:I22"/>
  <sheetViews>
    <sheetView workbookViewId="0">
      <selection activeCell="I11" sqref="I11"/>
    </sheetView>
  </sheetViews>
  <sheetFormatPr defaultColWidth="8.81640625" defaultRowHeight="14.5"/>
  <cols>
    <col min="2" max="2" width="10.453125" customWidth="1"/>
    <col min="3" max="3" width="32.1796875" customWidth="1"/>
    <col min="4" max="4" width="14" customWidth="1"/>
    <col min="5" max="5" width="13.453125" customWidth="1"/>
    <col min="6" max="6" width="11" customWidth="1"/>
    <col min="7" max="7" width="13.453125" customWidth="1"/>
    <col min="8" max="8" width="12.453125" customWidth="1"/>
    <col min="9" max="9" width="11.453125" customWidth="1"/>
  </cols>
  <sheetData>
    <row r="1" spans="1:9">
      <c r="A1" s="546" t="s">
        <v>1408</v>
      </c>
      <c r="B1" s="547"/>
      <c r="C1" s="547"/>
      <c r="D1" s="547"/>
      <c r="E1" s="547"/>
      <c r="F1" s="547"/>
      <c r="G1" s="547"/>
      <c r="H1" s="547"/>
      <c r="I1" s="547"/>
    </row>
    <row r="2" spans="1:9" ht="43.5">
      <c r="B2" s="265" t="s">
        <v>1369</v>
      </c>
      <c r="C2" s="284" t="s">
        <v>1409</v>
      </c>
      <c r="D2" s="284" t="s">
        <v>1379</v>
      </c>
      <c r="E2" s="284" t="s">
        <v>1410</v>
      </c>
      <c r="F2" s="284" t="s">
        <v>1411</v>
      </c>
      <c r="G2" s="284" t="s">
        <v>1412</v>
      </c>
      <c r="H2" s="284" t="s">
        <v>1413</v>
      </c>
      <c r="I2" s="284" t="s">
        <v>1414</v>
      </c>
    </row>
    <row r="3" spans="1:9">
      <c r="B3" s="14" t="s">
        <v>1415</v>
      </c>
      <c r="C3" s="14" t="s">
        <v>1392</v>
      </c>
      <c r="D3" s="14"/>
      <c r="E3" s="14">
        <v>2022</v>
      </c>
      <c r="F3" s="14" t="s">
        <v>49</v>
      </c>
      <c r="G3" s="14" t="s">
        <v>801</v>
      </c>
      <c r="H3" s="14" t="s">
        <v>1416</v>
      </c>
      <c r="I3" s="14" t="s">
        <v>1388</v>
      </c>
    </row>
    <row r="4" spans="1:9">
      <c r="B4" s="14" t="s">
        <v>1304</v>
      </c>
      <c r="C4" s="14" t="s">
        <v>1387</v>
      </c>
      <c r="D4" s="14"/>
      <c r="E4" s="14">
        <v>2023</v>
      </c>
      <c r="F4" s="14" t="s">
        <v>82</v>
      </c>
      <c r="G4" s="14" t="s">
        <v>803</v>
      </c>
      <c r="H4" s="14"/>
      <c r="I4" s="14" t="s">
        <v>56</v>
      </c>
    </row>
    <row r="5" spans="1:9">
      <c r="B5" s="14" t="s">
        <v>1396</v>
      </c>
      <c r="C5" s="14" t="s">
        <v>1417</v>
      </c>
      <c r="D5" s="14"/>
      <c r="E5" s="14">
        <v>2024</v>
      </c>
      <c r="F5" s="14" t="s">
        <v>93</v>
      </c>
      <c r="G5" s="14" t="s">
        <v>1391</v>
      </c>
      <c r="H5" s="14"/>
      <c r="I5" s="14" t="s">
        <v>283</v>
      </c>
    </row>
    <row r="6" spans="1:9">
      <c r="B6" s="14" t="s">
        <v>46</v>
      </c>
      <c r="C6" s="14"/>
      <c r="D6" s="14"/>
      <c r="E6" s="14">
        <v>2025</v>
      </c>
      <c r="F6" s="14" t="s">
        <v>106</v>
      </c>
      <c r="G6" s="14" t="s">
        <v>809</v>
      </c>
      <c r="H6" s="14"/>
      <c r="I6" s="14"/>
    </row>
    <row r="7" spans="1:9">
      <c r="B7" s="14" t="s">
        <v>1418</v>
      </c>
      <c r="C7" s="14"/>
      <c r="D7" s="14"/>
      <c r="E7" s="14">
        <v>2026</v>
      </c>
      <c r="F7" s="14"/>
      <c r="G7" s="14" t="s">
        <v>813</v>
      </c>
      <c r="H7" s="14"/>
      <c r="I7" s="14"/>
    </row>
    <row r="8" spans="1:9">
      <c r="B8" s="14" t="s">
        <v>713</v>
      </c>
      <c r="C8" s="14"/>
      <c r="D8" s="14"/>
      <c r="E8" s="14"/>
      <c r="F8" s="14"/>
      <c r="G8" s="14" t="s">
        <v>817</v>
      </c>
      <c r="H8" s="14"/>
      <c r="I8" s="14"/>
    </row>
    <row r="9" spans="1:9">
      <c r="B9" s="14" t="s">
        <v>1135</v>
      </c>
      <c r="C9" s="14"/>
      <c r="D9" s="14"/>
      <c r="E9" s="14"/>
      <c r="F9" s="14"/>
      <c r="G9" s="14" t="s">
        <v>822</v>
      </c>
      <c r="H9" s="14"/>
      <c r="I9" s="14"/>
    </row>
    <row r="10" spans="1:9">
      <c r="B10" s="14" t="s">
        <v>918</v>
      </c>
      <c r="C10" s="14"/>
      <c r="D10" s="14"/>
      <c r="E10" s="14"/>
      <c r="F10" s="14"/>
      <c r="G10" s="14" t="s">
        <v>824</v>
      </c>
      <c r="H10" s="14"/>
      <c r="I10" s="14"/>
    </row>
    <row r="11" spans="1:9">
      <c r="B11" s="14" t="s">
        <v>1397</v>
      </c>
      <c r="C11" s="14"/>
      <c r="D11" s="14"/>
      <c r="E11" s="14"/>
      <c r="F11" s="14"/>
      <c r="G11" s="14" t="s">
        <v>829</v>
      </c>
      <c r="H11" s="14"/>
      <c r="I11" s="14"/>
    </row>
    <row r="12" spans="1:9">
      <c r="B12" s="14" t="s">
        <v>1393</v>
      </c>
      <c r="C12" s="14"/>
      <c r="D12" s="14"/>
      <c r="E12" s="14"/>
      <c r="F12" s="14"/>
      <c r="G12" s="14" t="s">
        <v>832</v>
      </c>
      <c r="H12" s="14"/>
      <c r="I12" s="14"/>
    </row>
    <row r="13" spans="1:9">
      <c r="B13" s="14" t="s">
        <v>1299</v>
      </c>
      <c r="C13" s="14"/>
      <c r="D13" s="14"/>
      <c r="E13" s="14"/>
      <c r="F13" s="14"/>
      <c r="G13" s="14" t="s">
        <v>1402</v>
      </c>
      <c r="H13" s="14"/>
      <c r="I13" s="14"/>
    </row>
    <row r="14" spans="1:9">
      <c r="B14" s="14" t="s">
        <v>1395</v>
      </c>
      <c r="C14" s="14"/>
      <c r="D14" s="14"/>
      <c r="E14" s="14"/>
      <c r="F14" s="14"/>
      <c r="G14" s="14" t="s">
        <v>796</v>
      </c>
      <c r="H14" s="14"/>
      <c r="I14" s="14"/>
    </row>
    <row r="15" spans="1:9">
      <c r="B15" s="14" t="s">
        <v>1419</v>
      </c>
      <c r="C15" s="14"/>
      <c r="D15" s="14"/>
      <c r="E15" s="14"/>
      <c r="F15" s="14"/>
      <c r="G15" s="14"/>
      <c r="H15" s="14"/>
      <c r="I15" s="14"/>
    </row>
    <row r="16" spans="1:9">
      <c r="B16" s="14" t="s">
        <v>1170</v>
      </c>
      <c r="C16" s="14"/>
      <c r="D16" s="14"/>
      <c r="E16" s="14"/>
      <c r="F16" s="14"/>
      <c r="G16" s="14"/>
      <c r="H16" s="14"/>
      <c r="I16" s="14"/>
    </row>
    <row r="17" spans="2:9">
      <c r="B17" s="14" t="s">
        <v>1420</v>
      </c>
      <c r="C17" s="14"/>
      <c r="D17" s="14"/>
      <c r="E17" s="14"/>
      <c r="F17" s="14"/>
      <c r="G17" s="14"/>
      <c r="H17" s="14"/>
      <c r="I17" s="14"/>
    </row>
    <row r="18" spans="2:9">
      <c r="B18" s="14" t="s">
        <v>1159</v>
      </c>
      <c r="C18" s="14"/>
      <c r="D18" s="14"/>
      <c r="E18" s="14"/>
      <c r="F18" s="14"/>
      <c r="G18" s="14"/>
      <c r="H18" s="14"/>
      <c r="I18" s="14"/>
    </row>
    <row r="19" spans="2:9">
      <c r="B19" s="14" t="s">
        <v>1386</v>
      </c>
      <c r="C19" s="14"/>
      <c r="D19" s="14"/>
      <c r="E19" s="14"/>
      <c r="F19" s="14"/>
      <c r="G19" s="14"/>
      <c r="H19" s="14"/>
      <c r="I19" s="14"/>
    </row>
    <row r="20" spans="2:9">
      <c r="B20" s="14" t="s">
        <v>1421</v>
      </c>
      <c r="C20" s="14"/>
      <c r="D20" s="14"/>
      <c r="E20" s="14"/>
      <c r="F20" s="14"/>
      <c r="G20" s="14"/>
      <c r="H20" s="14"/>
      <c r="I20" s="14"/>
    </row>
    <row r="21" spans="2:9">
      <c r="B21" s="14"/>
      <c r="C21" s="14"/>
      <c r="D21" s="14"/>
      <c r="E21" s="14"/>
      <c r="F21" s="14"/>
      <c r="G21" s="14"/>
      <c r="H21" s="14"/>
      <c r="I21" s="14"/>
    </row>
    <row r="22" spans="2:9">
      <c r="B22" s="14"/>
      <c r="C22" s="14"/>
      <c r="D22" s="14"/>
      <c r="E22" s="14"/>
      <c r="F22" s="14"/>
      <c r="G22" s="14"/>
      <c r="H22" s="14"/>
      <c r="I22" s="14"/>
    </row>
  </sheetData>
  <mergeCells count="1">
    <mergeCell ref="A1:I1"/>
  </mergeCell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IA118"/>
  <sheetViews>
    <sheetView zoomScale="70" zoomScaleNormal="70" workbookViewId="0">
      <pane xSplit="1" ySplit="3" topLeftCell="H75" activePane="bottomRight" state="frozen"/>
      <selection pane="topRight" activeCell="B1" sqref="B1"/>
      <selection pane="bottomLeft" activeCell="A3" sqref="A3"/>
      <selection pane="bottomRight" activeCell="H75" sqref="H75"/>
    </sheetView>
  </sheetViews>
  <sheetFormatPr defaultColWidth="8.453125" defaultRowHeight="14.5"/>
  <cols>
    <col min="1" max="1" width="34.453125" style="27" customWidth="1"/>
    <col min="2" max="2" width="22.453125" style="27" customWidth="1"/>
    <col min="3" max="3" width="22.453125" style="26" customWidth="1"/>
    <col min="4" max="4" width="12.453125" style="26" customWidth="1"/>
    <col min="5" max="6" width="9.453125" style="26" customWidth="1"/>
    <col min="7" max="7" width="10.453125" style="26" bestFit="1" customWidth="1"/>
    <col min="8" max="8" width="12.453125" style="26" bestFit="1" customWidth="1"/>
    <col min="9" max="10" width="10.453125" style="26" customWidth="1"/>
    <col min="11" max="12" width="8.453125" style="26" customWidth="1"/>
    <col min="13" max="13" width="9.453125" style="26" customWidth="1"/>
    <col min="14" max="15" width="8.453125" style="26" customWidth="1"/>
    <col min="16" max="16" width="10" style="26" customWidth="1"/>
    <col min="17" max="17" width="10.453125" style="26" customWidth="1"/>
    <col min="18" max="18" width="8.453125" style="26" customWidth="1"/>
    <col min="19" max="19" width="10" style="26" customWidth="1"/>
    <col min="20" max="20" width="9.453125" style="26" customWidth="1"/>
    <col min="21" max="22" width="12.453125" style="26" bestFit="1" customWidth="1"/>
    <col min="23" max="23" width="9.453125" style="26" bestFit="1" customWidth="1"/>
    <col min="24" max="24" width="8.453125" style="26" customWidth="1"/>
    <col min="25" max="25" width="9.453125" style="26" customWidth="1"/>
    <col min="26" max="27" width="8.453125" style="26" customWidth="1"/>
    <col min="28" max="28" width="9.453125" style="26" customWidth="1"/>
    <col min="29" max="29" width="10" style="26" customWidth="1"/>
    <col min="30" max="30" width="12.453125" style="26" customWidth="1"/>
    <col min="31" max="31" width="8" style="26" customWidth="1"/>
    <col min="32" max="32" width="9.453125" style="26" customWidth="1"/>
    <col min="33" max="33" width="8.453125" style="26" customWidth="1"/>
    <col min="34" max="34" width="9.453125" style="26" customWidth="1"/>
    <col min="35" max="36" width="8.453125" style="26" customWidth="1"/>
    <col min="37" max="39" width="9.453125" style="26" customWidth="1"/>
    <col min="40" max="40" width="18.453125" style="26" customWidth="1"/>
    <col min="41" max="42" width="9.453125" style="26" customWidth="1"/>
    <col min="43" max="44" width="8.453125" style="26" customWidth="1"/>
    <col min="45" max="45" width="9.453125" style="26" customWidth="1"/>
    <col min="46" max="46" width="10.453125" style="26" customWidth="1"/>
    <col min="47" max="47" width="12.453125" style="26" bestFit="1" customWidth="1"/>
    <col min="48" max="48" width="10.453125" style="26" bestFit="1" customWidth="1"/>
    <col min="49" max="49" width="8.453125" style="26" customWidth="1"/>
    <col min="50" max="50" width="9.453125" style="26" customWidth="1"/>
    <col min="51" max="51" width="8.453125" style="26" customWidth="1"/>
    <col min="52" max="53" width="10.453125" style="26" customWidth="1"/>
    <col min="54" max="59" width="8.453125" style="26" customWidth="1"/>
    <col min="60" max="60" width="12.453125" style="26" bestFit="1" customWidth="1"/>
    <col min="61" max="61" width="10.453125" style="26" bestFit="1" customWidth="1"/>
    <col min="62" max="72" width="8.453125" style="26" customWidth="1"/>
    <col min="73" max="73" width="12.453125" style="26" bestFit="1" customWidth="1"/>
    <col min="74" max="74" width="10.453125" style="26" bestFit="1" customWidth="1"/>
    <col min="75" max="158" width="8.453125" style="26" customWidth="1"/>
    <col min="159" max="163" width="8.453125" style="44" customWidth="1"/>
    <col min="164" max="168" width="8.453125" style="46" customWidth="1"/>
    <col min="169" max="173" width="8.453125" style="44" customWidth="1"/>
    <col min="174" max="178" width="8.453125" style="46" customWidth="1"/>
    <col min="179" max="179" width="8.453125" style="26" customWidth="1"/>
    <col min="180" max="183" width="8.453125" style="33" customWidth="1"/>
    <col min="184" max="184" width="8.453125" style="26" customWidth="1"/>
    <col min="185" max="185" width="8.453125" style="40"/>
    <col min="186" max="16384" width="8.453125" style="26"/>
  </cols>
  <sheetData>
    <row r="1" spans="2:185">
      <c r="D1" s="555" t="s">
        <v>801</v>
      </c>
      <c r="E1" s="555"/>
      <c r="F1" s="555"/>
      <c r="G1" s="555"/>
      <c r="H1" s="555"/>
      <c r="I1" s="555"/>
      <c r="J1" s="555"/>
      <c r="K1" s="555"/>
      <c r="L1" s="555"/>
      <c r="M1" s="555"/>
      <c r="N1" s="555"/>
      <c r="Q1" s="555" t="s">
        <v>803</v>
      </c>
      <c r="R1" s="555"/>
      <c r="S1" s="555"/>
      <c r="T1" s="555"/>
      <c r="U1" s="555"/>
      <c r="V1" s="555"/>
      <c r="W1" s="555"/>
      <c r="X1" s="555"/>
      <c r="Y1" s="555"/>
      <c r="Z1" s="555"/>
      <c r="AA1" s="555"/>
      <c r="AD1" s="579" t="s">
        <v>806</v>
      </c>
      <c r="AE1" s="580"/>
      <c r="AF1" s="580"/>
      <c r="AG1" s="580"/>
      <c r="AH1" s="580"/>
      <c r="AI1" s="580"/>
      <c r="AJ1" s="580"/>
      <c r="AK1" s="580"/>
      <c r="AL1" s="580"/>
      <c r="AM1" s="580"/>
      <c r="AN1" s="581"/>
      <c r="AQ1" s="555" t="s">
        <v>809</v>
      </c>
      <c r="AR1" s="555"/>
      <c r="AS1" s="555"/>
      <c r="AT1" s="555"/>
      <c r="AU1" s="555"/>
      <c r="AV1" s="555"/>
      <c r="AW1" s="555"/>
      <c r="AX1" s="555"/>
      <c r="AY1" s="555"/>
      <c r="AZ1" s="555"/>
      <c r="BA1" s="555"/>
      <c r="BD1" s="555" t="s">
        <v>813</v>
      </c>
      <c r="BE1" s="555"/>
      <c r="BF1" s="555"/>
      <c r="BG1" s="555"/>
      <c r="BH1" s="555"/>
      <c r="BI1" s="555"/>
      <c r="BJ1" s="555"/>
      <c r="BK1" s="555"/>
      <c r="BL1" s="555"/>
      <c r="BM1" s="555"/>
      <c r="BN1" s="555"/>
      <c r="BQ1" s="555" t="s">
        <v>817</v>
      </c>
      <c r="BR1" s="555"/>
      <c r="BS1" s="555"/>
      <c r="BT1" s="555"/>
      <c r="BU1" s="555"/>
      <c r="BV1" s="555"/>
      <c r="BW1" s="555"/>
      <c r="BX1" s="555"/>
      <c r="BY1" s="555"/>
      <c r="BZ1" s="555"/>
      <c r="CA1" s="555"/>
      <c r="CD1" s="555" t="s">
        <v>822</v>
      </c>
      <c r="CE1" s="555"/>
      <c r="CF1" s="555"/>
      <c r="CG1" s="555"/>
      <c r="CH1" s="555"/>
      <c r="CI1" s="555"/>
      <c r="CJ1" s="555"/>
      <c r="CK1" s="555"/>
      <c r="CL1" s="555"/>
      <c r="CM1" s="555"/>
      <c r="CN1" s="555"/>
      <c r="CQ1" s="555" t="s">
        <v>824</v>
      </c>
      <c r="CR1" s="555"/>
      <c r="CS1" s="555"/>
      <c r="CT1" s="555"/>
      <c r="CU1" s="555"/>
      <c r="CV1" s="555"/>
      <c r="CW1" s="555"/>
      <c r="CX1" s="555"/>
      <c r="CY1" s="555"/>
      <c r="CZ1" s="555"/>
      <c r="DA1" s="555"/>
      <c r="DD1" s="555" t="s">
        <v>829</v>
      </c>
      <c r="DE1" s="555"/>
      <c r="DF1" s="555"/>
      <c r="DG1" s="555"/>
      <c r="DH1" s="555"/>
      <c r="DI1" s="555"/>
      <c r="DJ1" s="555"/>
      <c r="DK1" s="555"/>
      <c r="DL1" s="555"/>
      <c r="DM1" s="555"/>
      <c r="DN1" s="555"/>
      <c r="DQ1" s="555" t="s">
        <v>832</v>
      </c>
      <c r="DR1" s="555"/>
      <c r="DS1" s="555"/>
      <c r="DT1" s="555"/>
      <c r="DU1" s="555"/>
      <c r="DV1" s="555"/>
      <c r="DW1" s="555"/>
      <c r="DX1" s="555"/>
      <c r="DY1" s="555"/>
      <c r="DZ1" s="555"/>
      <c r="EA1" s="555"/>
      <c r="ED1" s="555" t="s">
        <v>834</v>
      </c>
      <c r="EE1" s="555"/>
      <c r="EF1" s="555"/>
      <c r="EG1" s="555"/>
      <c r="EH1" s="555"/>
      <c r="EI1" s="555"/>
      <c r="EJ1" s="555"/>
      <c r="EK1" s="555"/>
      <c r="EL1" s="555"/>
      <c r="EM1" s="555"/>
      <c r="EN1" s="555"/>
      <c r="EQ1" s="555" t="s">
        <v>796</v>
      </c>
      <c r="ER1" s="555"/>
      <c r="ES1" s="555"/>
      <c r="ET1" s="555"/>
      <c r="EU1" s="555"/>
      <c r="EV1" s="555"/>
      <c r="EW1" s="555"/>
      <c r="EX1" s="555"/>
      <c r="EY1" s="555"/>
      <c r="EZ1" s="555"/>
      <c r="FA1" s="555"/>
      <c r="FC1" s="552" t="s">
        <v>1422</v>
      </c>
      <c r="FD1" s="552"/>
      <c r="FE1" s="552"/>
      <c r="FF1" s="552"/>
      <c r="FG1" s="552"/>
      <c r="FH1" s="552"/>
      <c r="FI1" s="552"/>
      <c r="FJ1" s="552"/>
      <c r="FK1" s="552"/>
      <c r="FL1" s="552"/>
      <c r="FM1" s="552"/>
      <c r="FN1" s="552"/>
      <c r="FO1" s="552"/>
      <c r="FP1" s="552"/>
      <c r="FQ1" s="552"/>
      <c r="FR1" s="552"/>
      <c r="FS1" s="552"/>
      <c r="FT1" s="552"/>
      <c r="FU1" s="552"/>
      <c r="FV1" s="552"/>
      <c r="FX1" s="551" t="s">
        <v>1423</v>
      </c>
      <c r="FY1" s="551"/>
      <c r="FZ1" s="551"/>
      <c r="GA1" s="551"/>
    </row>
    <row r="2" spans="2:185">
      <c r="D2" s="555"/>
      <c r="E2" s="555"/>
      <c r="F2" s="555"/>
      <c r="G2" s="555"/>
      <c r="H2" s="555"/>
      <c r="I2" s="555"/>
      <c r="J2" s="555"/>
      <c r="K2" s="555"/>
      <c r="L2" s="555"/>
      <c r="M2" s="555"/>
      <c r="N2" s="555"/>
      <c r="Q2" s="555"/>
      <c r="R2" s="555"/>
      <c r="S2" s="555"/>
      <c r="T2" s="555"/>
      <c r="U2" s="555"/>
      <c r="V2" s="555"/>
      <c r="W2" s="555"/>
      <c r="X2" s="555"/>
      <c r="Y2" s="555"/>
      <c r="Z2" s="555"/>
      <c r="AA2" s="555"/>
      <c r="AD2" s="582"/>
      <c r="AE2" s="583"/>
      <c r="AF2" s="583"/>
      <c r="AG2" s="583"/>
      <c r="AH2" s="583"/>
      <c r="AI2" s="583"/>
      <c r="AJ2" s="583"/>
      <c r="AK2" s="583"/>
      <c r="AL2" s="583"/>
      <c r="AM2" s="583"/>
      <c r="AN2" s="584"/>
      <c r="AQ2" s="555"/>
      <c r="AR2" s="555"/>
      <c r="AS2" s="555"/>
      <c r="AT2" s="555"/>
      <c r="AU2" s="555"/>
      <c r="AV2" s="555"/>
      <c r="AW2" s="555"/>
      <c r="AX2" s="555"/>
      <c r="AY2" s="555"/>
      <c r="AZ2" s="555"/>
      <c r="BA2" s="555"/>
      <c r="BD2" s="555"/>
      <c r="BE2" s="555"/>
      <c r="BF2" s="555"/>
      <c r="BG2" s="555"/>
      <c r="BH2" s="555"/>
      <c r="BI2" s="555"/>
      <c r="BJ2" s="555"/>
      <c r="BK2" s="555"/>
      <c r="BL2" s="555"/>
      <c r="BM2" s="555"/>
      <c r="BN2" s="555"/>
      <c r="BQ2" s="555"/>
      <c r="BR2" s="555"/>
      <c r="BS2" s="555"/>
      <c r="BT2" s="555"/>
      <c r="BU2" s="555"/>
      <c r="BV2" s="555"/>
      <c r="BW2" s="555"/>
      <c r="BX2" s="555"/>
      <c r="BY2" s="555"/>
      <c r="BZ2" s="555"/>
      <c r="CA2" s="555"/>
      <c r="CD2" s="555"/>
      <c r="CE2" s="555"/>
      <c r="CF2" s="555"/>
      <c r="CG2" s="555"/>
      <c r="CH2" s="555"/>
      <c r="CI2" s="555"/>
      <c r="CJ2" s="555"/>
      <c r="CK2" s="555"/>
      <c r="CL2" s="555"/>
      <c r="CM2" s="555"/>
      <c r="CN2" s="555"/>
      <c r="CQ2" s="555"/>
      <c r="CR2" s="555"/>
      <c r="CS2" s="555"/>
      <c r="CT2" s="555"/>
      <c r="CU2" s="555"/>
      <c r="CV2" s="555"/>
      <c r="CW2" s="555"/>
      <c r="CX2" s="555"/>
      <c r="CY2" s="555"/>
      <c r="CZ2" s="555"/>
      <c r="DA2" s="555"/>
      <c r="DD2" s="555"/>
      <c r="DE2" s="555"/>
      <c r="DF2" s="555"/>
      <c r="DG2" s="555"/>
      <c r="DH2" s="555"/>
      <c r="DI2" s="555"/>
      <c r="DJ2" s="555"/>
      <c r="DK2" s="555"/>
      <c r="DL2" s="555"/>
      <c r="DM2" s="555"/>
      <c r="DN2" s="555"/>
      <c r="DQ2" s="555"/>
      <c r="DR2" s="555"/>
      <c r="DS2" s="555"/>
      <c r="DT2" s="555"/>
      <c r="DU2" s="555"/>
      <c r="DV2" s="555"/>
      <c r="DW2" s="555"/>
      <c r="DX2" s="555"/>
      <c r="DY2" s="555"/>
      <c r="DZ2" s="555"/>
      <c r="EA2" s="555"/>
      <c r="ED2" s="555"/>
      <c r="EE2" s="555"/>
      <c r="EF2" s="555"/>
      <c r="EG2" s="555"/>
      <c r="EH2" s="555"/>
      <c r="EI2" s="555"/>
      <c r="EJ2" s="555"/>
      <c r="EK2" s="555"/>
      <c r="EL2" s="555"/>
      <c r="EM2" s="555"/>
      <c r="EN2" s="555"/>
      <c r="EQ2" s="555"/>
      <c r="ER2" s="555"/>
      <c r="ES2" s="555"/>
      <c r="ET2" s="555"/>
      <c r="EU2" s="555"/>
      <c r="EV2" s="555"/>
      <c r="EW2" s="555"/>
      <c r="EX2" s="555"/>
      <c r="EY2" s="555"/>
      <c r="EZ2" s="555"/>
      <c r="FA2" s="555"/>
      <c r="FC2" s="553" t="s">
        <v>49</v>
      </c>
      <c r="FD2" s="553"/>
      <c r="FE2" s="553"/>
      <c r="FF2" s="553"/>
      <c r="FG2" s="553"/>
      <c r="FH2" s="554" t="s">
        <v>82</v>
      </c>
      <c r="FI2" s="554"/>
      <c r="FJ2" s="554"/>
      <c r="FK2" s="554"/>
      <c r="FL2" s="554"/>
      <c r="FM2" s="552" t="s">
        <v>93</v>
      </c>
      <c r="FN2" s="552"/>
      <c r="FO2" s="552"/>
      <c r="FP2" s="552"/>
      <c r="FQ2" s="552"/>
      <c r="FR2" s="554" t="s">
        <v>106</v>
      </c>
      <c r="FS2" s="554"/>
      <c r="FT2" s="554"/>
      <c r="FU2" s="554"/>
      <c r="FV2" s="554"/>
      <c r="FX2" s="481"/>
      <c r="FY2" s="481"/>
      <c r="FZ2" s="481"/>
      <c r="GA2" s="481"/>
    </row>
    <row r="3" spans="2:185" ht="58">
      <c r="B3" s="27" t="s">
        <v>1424</v>
      </c>
      <c r="D3" s="53" t="s">
        <v>1425</v>
      </c>
      <c r="E3" s="53" t="s">
        <v>1426</v>
      </c>
      <c r="F3" s="53" t="s">
        <v>1427</v>
      </c>
      <c r="G3" s="53" t="s">
        <v>1428</v>
      </c>
      <c r="H3" s="53" t="s">
        <v>1429</v>
      </c>
      <c r="I3" s="53" t="s">
        <v>1430</v>
      </c>
      <c r="J3" s="53" t="s">
        <v>1431</v>
      </c>
      <c r="K3" s="53" t="s">
        <v>1432</v>
      </c>
      <c r="L3" s="53" t="s">
        <v>1433</v>
      </c>
      <c r="M3" s="53" t="s">
        <v>1023</v>
      </c>
      <c r="N3" s="53" t="s">
        <v>40</v>
      </c>
      <c r="O3" s="27" t="s">
        <v>1424</v>
      </c>
      <c r="P3" s="27"/>
      <c r="Q3" s="53" t="s">
        <v>1425</v>
      </c>
      <c r="R3" s="53" t="s">
        <v>1426</v>
      </c>
      <c r="S3" s="53" t="s">
        <v>1427</v>
      </c>
      <c r="T3" s="53" t="s">
        <v>1428</v>
      </c>
      <c r="U3" s="53" t="s">
        <v>1429</v>
      </c>
      <c r="V3" s="53" t="s">
        <v>1430</v>
      </c>
      <c r="W3" s="53" t="s">
        <v>1431</v>
      </c>
      <c r="X3" s="53" t="s">
        <v>1432</v>
      </c>
      <c r="Y3" s="53" t="s">
        <v>1433</v>
      </c>
      <c r="Z3" s="53" t="s">
        <v>1023</v>
      </c>
      <c r="AA3" s="53" t="s">
        <v>40</v>
      </c>
      <c r="AB3" s="27" t="s">
        <v>1424</v>
      </c>
      <c r="AC3" s="27"/>
      <c r="AD3" s="53" t="s">
        <v>1425</v>
      </c>
      <c r="AE3" s="53" t="s">
        <v>1426</v>
      </c>
      <c r="AF3" s="53" t="s">
        <v>1427</v>
      </c>
      <c r="AG3" s="53" t="s">
        <v>1428</v>
      </c>
      <c r="AH3" s="53" t="s">
        <v>1429</v>
      </c>
      <c r="AI3" s="53" t="s">
        <v>1430</v>
      </c>
      <c r="AJ3" s="53" t="s">
        <v>1431</v>
      </c>
      <c r="AK3" s="53" t="s">
        <v>1432</v>
      </c>
      <c r="AL3" s="53" t="s">
        <v>1433</v>
      </c>
      <c r="AM3" s="53" t="s">
        <v>1023</v>
      </c>
      <c r="AN3" s="53" t="s">
        <v>40</v>
      </c>
      <c r="AO3" s="27" t="s">
        <v>1424</v>
      </c>
      <c r="AP3" s="27"/>
      <c r="AQ3" s="53" t="s">
        <v>1425</v>
      </c>
      <c r="AR3" s="53" t="s">
        <v>1426</v>
      </c>
      <c r="AS3" s="53" t="s">
        <v>1427</v>
      </c>
      <c r="AT3" s="53" t="s">
        <v>1428</v>
      </c>
      <c r="AU3" s="53" t="s">
        <v>1429</v>
      </c>
      <c r="AV3" s="53" t="s">
        <v>1430</v>
      </c>
      <c r="AW3" s="53" t="s">
        <v>1431</v>
      </c>
      <c r="AX3" s="53" t="s">
        <v>1432</v>
      </c>
      <c r="AY3" s="53" t="s">
        <v>1433</v>
      </c>
      <c r="AZ3" s="53" t="s">
        <v>1023</v>
      </c>
      <c r="BA3" s="53" t="s">
        <v>40</v>
      </c>
      <c r="BB3" s="27" t="s">
        <v>1424</v>
      </c>
      <c r="BC3" s="27"/>
      <c r="BD3" s="53" t="s">
        <v>1425</v>
      </c>
      <c r="BE3" s="53" t="s">
        <v>1426</v>
      </c>
      <c r="BF3" s="53" t="s">
        <v>1427</v>
      </c>
      <c r="BG3" s="53" t="s">
        <v>1428</v>
      </c>
      <c r="BH3" s="53" t="s">
        <v>1429</v>
      </c>
      <c r="BI3" s="53" t="s">
        <v>1430</v>
      </c>
      <c r="BJ3" s="53" t="s">
        <v>1431</v>
      </c>
      <c r="BK3" s="53" t="s">
        <v>1432</v>
      </c>
      <c r="BL3" s="53" t="s">
        <v>1433</v>
      </c>
      <c r="BM3" s="53" t="s">
        <v>1023</v>
      </c>
      <c r="BN3" s="53" t="s">
        <v>40</v>
      </c>
      <c r="BO3" s="27" t="s">
        <v>1424</v>
      </c>
      <c r="BP3" s="27"/>
      <c r="BQ3" s="53" t="s">
        <v>1425</v>
      </c>
      <c r="BR3" s="53" t="s">
        <v>1426</v>
      </c>
      <c r="BS3" s="53" t="s">
        <v>1427</v>
      </c>
      <c r="BT3" s="53" t="s">
        <v>1428</v>
      </c>
      <c r="BU3" s="53" t="s">
        <v>1429</v>
      </c>
      <c r="BV3" s="53" t="s">
        <v>1430</v>
      </c>
      <c r="BW3" s="53" t="s">
        <v>1431</v>
      </c>
      <c r="BX3" s="53" t="s">
        <v>1432</v>
      </c>
      <c r="BY3" s="53" t="s">
        <v>1433</v>
      </c>
      <c r="BZ3" s="53" t="s">
        <v>1023</v>
      </c>
      <c r="CA3" s="53" t="s">
        <v>40</v>
      </c>
      <c r="CB3" s="27" t="s">
        <v>1424</v>
      </c>
      <c r="CC3" s="27"/>
      <c r="CD3" s="53" t="s">
        <v>1425</v>
      </c>
      <c r="CE3" s="53" t="s">
        <v>1426</v>
      </c>
      <c r="CF3" s="53" t="s">
        <v>1427</v>
      </c>
      <c r="CG3" s="53" t="s">
        <v>1428</v>
      </c>
      <c r="CH3" s="53" t="s">
        <v>1429</v>
      </c>
      <c r="CI3" s="53" t="s">
        <v>1430</v>
      </c>
      <c r="CJ3" s="53" t="s">
        <v>1431</v>
      </c>
      <c r="CK3" s="53" t="s">
        <v>1432</v>
      </c>
      <c r="CL3" s="53" t="s">
        <v>1433</v>
      </c>
      <c r="CM3" s="53" t="s">
        <v>1023</v>
      </c>
      <c r="CN3" s="53" t="s">
        <v>40</v>
      </c>
      <c r="CO3" s="27" t="s">
        <v>1424</v>
      </c>
      <c r="CP3" s="27"/>
      <c r="CQ3" s="53" t="s">
        <v>1425</v>
      </c>
      <c r="CR3" s="53" t="s">
        <v>1426</v>
      </c>
      <c r="CS3" s="53" t="s">
        <v>1427</v>
      </c>
      <c r="CT3" s="53" t="s">
        <v>1428</v>
      </c>
      <c r="CU3" s="53" t="s">
        <v>1429</v>
      </c>
      <c r="CV3" s="53" t="s">
        <v>1430</v>
      </c>
      <c r="CW3" s="53" t="s">
        <v>1431</v>
      </c>
      <c r="CX3" s="53" t="s">
        <v>1432</v>
      </c>
      <c r="CY3" s="53" t="s">
        <v>1433</v>
      </c>
      <c r="CZ3" s="53" t="s">
        <v>1023</v>
      </c>
      <c r="DA3" s="53" t="s">
        <v>40</v>
      </c>
      <c r="DB3" s="27" t="s">
        <v>1424</v>
      </c>
      <c r="DC3" s="27"/>
      <c r="DD3" s="53" t="s">
        <v>1425</v>
      </c>
      <c r="DE3" s="53" t="s">
        <v>1426</v>
      </c>
      <c r="DF3" s="53" t="s">
        <v>1427</v>
      </c>
      <c r="DG3" s="53" t="s">
        <v>1428</v>
      </c>
      <c r="DH3" s="53" t="s">
        <v>1429</v>
      </c>
      <c r="DI3" s="53" t="s">
        <v>1430</v>
      </c>
      <c r="DJ3" s="53" t="s">
        <v>1431</v>
      </c>
      <c r="DK3" s="53" t="s">
        <v>1432</v>
      </c>
      <c r="DL3" s="53" t="s">
        <v>1433</v>
      </c>
      <c r="DM3" s="53" t="s">
        <v>1023</v>
      </c>
      <c r="DN3" s="53" t="s">
        <v>40</v>
      </c>
      <c r="DO3" s="27" t="s">
        <v>1424</v>
      </c>
      <c r="DP3" s="27"/>
      <c r="DQ3" s="53" t="s">
        <v>1425</v>
      </c>
      <c r="DR3" s="53" t="s">
        <v>1426</v>
      </c>
      <c r="DS3" s="53" t="s">
        <v>1427</v>
      </c>
      <c r="DT3" s="53" t="s">
        <v>1428</v>
      </c>
      <c r="DU3" s="53" t="s">
        <v>1429</v>
      </c>
      <c r="DV3" s="53" t="s">
        <v>1430</v>
      </c>
      <c r="DW3" s="53" t="s">
        <v>1431</v>
      </c>
      <c r="DX3" s="53" t="s">
        <v>1432</v>
      </c>
      <c r="DY3" s="53" t="s">
        <v>1433</v>
      </c>
      <c r="DZ3" s="53" t="s">
        <v>1023</v>
      </c>
      <c r="EA3" s="53" t="s">
        <v>40</v>
      </c>
      <c r="EB3" s="27" t="s">
        <v>1424</v>
      </c>
      <c r="EC3" s="27"/>
      <c r="ED3" s="53" t="s">
        <v>1425</v>
      </c>
      <c r="EE3" s="53" t="s">
        <v>1426</v>
      </c>
      <c r="EF3" s="53" t="s">
        <v>1427</v>
      </c>
      <c r="EG3" s="53" t="s">
        <v>1428</v>
      </c>
      <c r="EH3" s="53" t="s">
        <v>1429</v>
      </c>
      <c r="EI3" s="53" t="s">
        <v>1430</v>
      </c>
      <c r="EJ3" s="53" t="s">
        <v>1431</v>
      </c>
      <c r="EK3" s="53" t="s">
        <v>1432</v>
      </c>
      <c r="EL3" s="53" t="s">
        <v>1433</v>
      </c>
      <c r="EM3" s="53" t="s">
        <v>1023</v>
      </c>
      <c r="EN3" s="53" t="s">
        <v>40</v>
      </c>
      <c r="EO3" s="26" t="s">
        <v>1424</v>
      </c>
      <c r="EP3" s="27"/>
      <c r="EQ3" s="53" t="s">
        <v>1425</v>
      </c>
      <c r="ER3" s="53" t="s">
        <v>1426</v>
      </c>
      <c r="ES3" s="53" t="s">
        <v>1427</v>
      </c>
      <c r="ET3" s="53" t="s">
        <v>1428</v>
      </c>
      <c r="EU3" s="53" t="s">
        <v>1429</v>
      </c>
      <c r="EV3" s="53" t="s">
        <v>1430</v>
      </c>
      <c r="EW3" s="53" t="s">
        <v>1431</v>
      </c>
      <c r="EX3" s="53" t="s">
        <v>1432</v>
      </c>
      <c r="EY3" s="53" t="s">
        <v>1433</v>
      </c>
      <c r="EZ3" s="53" t="s">
        <v>1023</v>
      </c>
      <c r="FA3" s="53" t="s">
        <v>40</v>
      </c>
      <c r="FC3" s="483" t="s">
        <v>1434</v>
      </c>
      <c r="FD3" s="483" t="s">
        <v>1435</v>
      </c>
      <c r="FE3" s="483" t="s">
        <v>1436</v>
      </c>
      <c r="FF3" s="483" t="s">
        <v>1437</v>
      </c>
      <c r="FG3" s="483" t="s">
        <v>1438</v>
      </c>
      <c r="FH3" s="22" t="s">
        <v>1434</v>
      </c>
      <c r="FI3" s="22" t="s">
        <v>1435</v>
      </c>
      <c r="FJ3" s="22" t="s">
        <v>1436</v>
      </c>
      <c r="FK3" s="22" t="s">
        <v>1437</v>
      </c>
      <c r="FL3" s="22" t="s">
        <v>1438</v>
      </c>
      <c r="FM3" s="483" t="s">
        <v>1434</v>
      </c>
      <c r="FN3" s="483" t="s">
        <v>1435</v>
      </c>
      <c r="FO3" s="483" t="s">
        <v>1436</v>
      </c>
      <c r="FP3" s="483" t="s">
        <v>1437</v>
      </c>
      <c r="FQ3" s="483" t="s">
        <v>1438</v>
      </c>
      <c r="FR3" s="22" t="s">
        <v>1434</v>
      </c>
      <c r="FS3" s="22" t="s">
        <v>1435</v>
      </c>
      <c r="FT3" s="22" t="s">
        <v>1436</v>
      </c>
      <c r="FU3" s="22" t="s">
        <v>1437</v>
      </c>
      <c r="FV3" s="22" t="s">
        <v>1438</v>
      </c>
      <c r="FX3" s="33" t="s">
        <v>49</v>
      </c>
      <c r="FY3" s="33" t="s">
        <v>82</v>
      </c>
      <c r="FZ3" s="33" t="s">
        <v>93</v>
      </c>
      <c r="GA3" s="33" t="s">
        <v>106</v>
      </c>
      <c r="GC3" s="40" t="s">
        <v>225</v>
      </c>
    </row>
    <row r="4" spans="2:185">
      <c r="D4" s="548" t="s">
        <v>1439</v>
      </c>
      <c r="E4" s="549"/>
      <c r="F4" s="549"/>
      <c r="G4" s="549"/>
      <c r="H4" s="549"/>
      <c r="I4" s="549"/>
      <c r="J4" s="549"/>
      <c r="K4" s="549"/>
      <c r="L4" s="549"/>
      <c r="M4" s="549"/>
      <c r="N4" s="550"/>
      <c r="O4" s="65"/>
      <c r="P4" s="65"/>
      <c r="Q4" s="548" t="s">
        <v>1439</v>
      </c>
      <c r="R4" s="549"/>
      <c r="S4" s="549"/>
      <c r="T4" s="549"/>
      <c r="U4" s="549"/>
      <c r="V4" s="549"/>
      <c r="W4" s="549"/>
      <c r="X4" s="549"/>
      <c r="Y4" s="549"/>
      <c r="Z4" s="549"/>
      <c r="AA4" s="550"/>
      <c r="AB4" s="65"/>
      <c r="AC4" s="65"/>
      <c r="AD4" s="548" t="s">
        <v>1439</v>
      </c>
      <c r="AE4" s="549"/>
      <c r="AF4" s="549"/>
      <c r="AG4" s="549"/>
      <c r="AH4" s="549"/>
      <c r="AI4" s="549"/>
      <c r="AJ4" s="549"/>
      <c r="AK4" s="549"/>
      <c r="AL4" s="549"/>
      <c r="AM4" s="549"/>
      <c r="AN4" s="550"/>
      <c r="AO4" s="65"/>
      <c r="AP4" s="65"/>
      <c r="AQ4" s="548" t="s">
        <v>1440</v>
      </c>
      <c r="AR4" s="549"/>
      <c r="AS4" s="549"/>
      <c r="AT4" s="549"/>
      <c r="AU4" s="549"/>
      <c r="AV4" s="549"/>
      <c r="AW4" s="549"/>
      <c r="AX4" s="549"/>
      <c r="AY4" s="549"/>
      <c r="AZ4" s="549"/>
      <c r="BA4" s="550"/>
      <c r="BB4" s="65"/>
      <c r="BC4" s="65"/>
      <c r="BD4" s="548" t="s">
        <v>1439</v>
      </c>
      <c r="BE4" s="549"/>
      <c r="BF4" s="549"/>
      <c r="BG4" s="549"/>
      <c r="BH4" s="549"/>
      <c r="BI4" s="549"/>
      <c r="BJ4" s="549"/>
      <c r="BK4" s="549"/>
      <c r="BL4" s="549"/>
      <c r="BM4" s="549"/>
      <c r="BN4" s="550"/>
      <c r="BO4" s="65"/>
      <c r="BP4" s="65"/>
      <c r="BQ4" s="548" t="s">
        <v>1441</v>
      </c>
      <c r="BR4" s="549"/>
      <c r="BS4" s="549"/>
      <c r="BT4" s="549"/>
      <c r="BU4" s="549"/>
      <c r="BV4" s="549"/>
      <c r="BW4" s="549"/>
      <c r="BX4" s="549"/>
      <c r="BY4" s="549"/>
      <c r="BZ4" s="549"/>
      <c r="CA4" s="550"/>
      <c r="CB4" s="65"/>
      <c r="CC4" s="65"/>
      <c r="CD4" s="548" t="s">
        <v>1442</v>
      </c>
      <c r="CE4" s="549"/>
      <c r="CF4" s="549"/>
      <c r="CG4" s="549"/>
      <c r="CH4" s="549"/>
      <c r="CI4" s="549"/>
      <c r="CJ4" s="549"/>
      <c r="CK4" s="549"/>
      <c r="CL4" s="549"/>
      <c r="CM4" s="549"/>
      <c r="CN4" s="550"/>
      <c r="CO4" s="65"/>
      <c r="CP4" s="65"/>
      <c r="CQ4" s="548" t="s">
        <v>1442</v>
      </c>
      <c r="CR4" s="549"/>
      <c r="CS4" s="549"/>
      <c r="CT4" s="549"/>
      <c r="CU4" s="549"/>
      <c r="CV4" s="549"/>
      <c r="CW4" s="549"/>
      <c r="CX4" s="549"/>
      <c r="CY4" s="549"/>
      <c r="CZ4" s="549"/>
      <c r="DA4" s="550"/>
      <c r="DB4" s="65"/>
      <c r="DC4" s="65"/>
      <c r="DD4" s="548" t="s">
        <v>1442</v>
      </c>
      <c r="DE4" s="549"/>
      <c r="DF4" s="549"/>
      <c r="DG4" s="549"/>
      <c r="DH4" s="549"/>
      <c r="DI4" s="549"/>
      <c r="DJ4" s="549"/>
      <c r="DK4" s="549"/>
      <c r="DL4" s="549"/>
      <c r="DM4" s="549"/>
      <c r="DN4" s="550"/>
      <c r="DO4" s="65"/>
      <c r="DP4" s="65"/>
      <c r="DQ4" s="548" t="s">
        <v>1443</v>
      </c>
      <c r="DR4" s="549"/>
      <c r="DS4" s="549"/>
      <c r="DT4" s="549"/>
      <c r="DU4" s="549"/>
      <c r="DV4" s="549"/>
      <c r="DW4" s="549"/>
      <c r="DX4" s="549"/>
      <c r="DY4" s="549"/>
      <c r="DZ4" s="549"/>
      <c r="EA4" s="550"/>
      <c r="EB4" s="65"/>
      <c r="EC4" s="65"/>
      <c r="ED4" s="548" t="s">
        <v>1443</v>
      </c>
      <c r="EE4" s="549"/>
      <c r="EF4" s="549"/>
      <c r="EG4" s="549"/>
      <c r="EH4" s="549"/>
      <c r="EI4" s="549"/>
      <c r="EJ4" s="549"/>
      <c r="EK4" s="549"/>
      <c r="EL4" s="549"/>
      <c r="EM4" s="549"/>
      <c r="EN4" s="550"/>
      <c r="EO4" s="65"/>
      <c r="EP4" s="65"/>
      <c r="EQ4" s="548" t="s">
        <v>1444</v>
      </c>
      <c r="ER4" s="549"/>
      <c r="ES4" s="549"/>
      <c r="ET4" s="549"/>
      <c r="EU4" s="549"/>
      <c r="EV4" s="549"/>
      <c r="EW4" s="549"/>
      <c r="EX4" s="549"/>
      <c r="EY4" s="549"/>
      <c r="EZ4" s="549"/>
      <c r="FA4" s="550"/>
      <c r="FC4" s="48"/>
      <c r="FD4" s="48"/>
      <c r="FE4" s="48"/>
      <c r="FF4" s="48"/>
      <c r="FG4" s="48"/>
      <c r="FH4" s="48"/>
      <c r="FI4" s="48"/>
      <c r="FJ4" s="48"/>
      <c r="FK4" s="48"/>
      <c r="FL4" s="48"/>
      <c r="FM4" s="48"/>
      <c r="FN4" s="48"/>
      <c r="FO4" s="48"/>
      <c r="FP4" s="48"/>
      <c r="FQ4" s="48"/>
      <c r="FR4" s="48"/>
      <c r="FS4" s="48"/>
      <c r="FT4" s="48"/>
      <c r="FU4" s="48"/>
      <c r="FV4" s="48"/>
      <c r="FX4" s="50"/>
      <c r="FY4" s="50"/>
      <c r="FZ4" s="50"/>
      <c r="GA4" s="50"/>
    </row>
    <row r="5" spans="2:185" ht="36">
      <c r="B5" s="27" t="s">
        <v>1258</v>
      </c>
      <c r="C5" s="26" t="s">
        <v>390</v>
      </c>
      <c r="D5" s="66" t="s">
        <v>1445</v>
      </c>
      <c r="E5" s="64" t="str">
        <f>'Geo &amp; CIC Deployment Plan'!AG3</f>
        <v>Legacy CIC</v>
      </c>
      <c r="F5" s="64" t="str">
        <f>'Geo &amp; CIC Deployment Plan'!AH3</f>
        <v>F2F</v>
      </c>
      <c r="G5" s="64" t="str">
        <f>'Geo &amp; CIC Deployment Plan'!Z3</f>
        <v>Complete</v>
      </c>
      <c r="H5" s="64" t="str">
        <f>'Geo &amp; CIC Deployment Plan'!AB3</f>
        <v>Complete</v>
      </c>
      <c r="I5" s="64" t="str">
        <f>'Geo &amp; CIC Deployment Plan'!AD3</f>
        <v>Complete</v>
      </c>
      <c r="J5" s="64"/>
      <c r="K5" s="64" t="str">
        <f>'Geo &amp; CIC Deployment Plan'!AE3</f>
        <v>Planned</v>
      </c>
      <c r="L5" s="64" t="str">
        <f>'Geo &amp; CIC Deployment Plan'!AF3</f>
        <v>Planned</v>
      </c>
      <c r="M5" s="64" t="e">
        <f>'Geo &amp; CIC Deployment Plan'!#REF!</f>
        <v>#REF!</v>
      </c>
      <c r="N5" s="64"/>
      <c r="O5" s="65" t="s">
        <v>1258</v>
      </c>
      <c r="P5" s="65" t="s">
        <v>390</v>
      </c>
      <c r="Q5" s="66" t="s">
        <v>1446</v>
      </c>
      <c r="R5" s="64" t="e">
        <f>'Geo &amp; CIC Deployment Plan'!#REF!</f>
        <v>#REF!</v>
      </c>
      <c r="S5" s="64" t="e">
        <f>'Geo &amp; CIC Deployment Plan'!#REF!</f>
        <v>#REF!</v>
      </c>
      <c r="T5" s="64" t="e">
        <f>'Geo &amp; CIC Deployment Plan'!#REF!</f>
        <v>#REF!</v>
      </c>
      <c r="U5" s="64" t="e">
        <f>'Geo &amp; CIC Deployment Plan'!#REF!</f>
        <v>#REF!</v>
      </c>
      <c r="V5" s="64" t="e">
        <f>'Geo &amp; CIC Deployment Plan'!#REF!</f>
        <v>#REF!</v>
      </c>
      <c r="W5" s="64"/>
      <c r="X5" s="64" t="e">
        <f>'Geo &amp; CIC Deployment Plan'!#REF!</f>
        <v>#REF!</v>
      </c>
      <c r="Y5" s="64" t="e">
        <f>'Geo &amp; CIC Deployment Plan'!#REF!</f>
        <v>#REF!</v>
      </c>
      <c r="Z5" s="64" t="e">
        <f>'Geo &amp; CIC Deployment Plan'!#REF!</f>
        <v>#REF!</v>
      </c>
      <c r="AA5" s="64"/>
      <c r="AB5" s="65" t="s">
        <v>1258</v>
      </c>
      <c r="AC5" s="65" t="s">
        <v>390</v>
      </c>
      <c r="AD5" s="66" t="s">
        <v>1447</v>
      </c>
      <c r="AE5" s="64" t="e">
        <f>'Geo &amp; CIC Deployment Plan'!#REF!</f>
        <v>#REF!</v>
      </c>
      <c r="AF5" s="64" t="e">
        <f>'Geo &amp; CIC Deployment Plan'!#REF!</f>
        <v>#REF!</v>
      </c>
      <c r="AG5" s="64" t="e">
        <f>'Geo &amp; CIC Deployment Plan'!#REF!</f>
        <v>#REF!</v>
      </c>
      <c r="AH5" s="64" t="e">
        <f>'Geo &amp; CIC Deployment Plan'!#REF!</f>
        <v>#REF!</v>
      </c>
      <c r="AI5" s="64" t="e">
        <f>'Geo &amp; CIC Deployment Plan'!#REF!</f>
        <v>#REF!</v>
      </c>
      <c r="AJ5" s="64"/>
      <c r="AK5" s="64" t="e">
        <f>'Geo &amp; CIC Deployment Plan'!#REF!</f>
        <v>#REF!</v>
      </c>
      <c r="AL5" s="64" t="e">
        <f>'Geo &amp; CIC Deployment Plan'!#REF!</f>
        <v>#REF!</v>
      </c>
      <c r="AM5" s="64" t="e">
        <f>'Geo &amp; CIC Deployment Plan'!#REF!</f>
        <v>#REF!</v>
      </c>
      <c r="AN5" s="64"/>
      <c r="AO5" s="65" t="s">
        <v>1258</v>
      </c>
      <c r="AP5" s="65" t="s">
        <v>1282</v>
      </c>
      <c r="AQ5" s="66" t="s">
        <v>1448</v>
      </c>
      <c r="AR5" s="64" t="str">
        <f>'Geo &amp; CIC Deployment Plan'!AG11</f>
        <v>New GBS Associates Induction</v>
      </c>
      <c r="AS5" s="64" t="str">
        <f>'Geo &amp; CIC Deployment Plan'!AH11</f>
        <v>Virtual</v>
      </c>
      <c r="AT5" s="64" t="str">
        <f>'Geo &amp; CIC Deployment Plan'!Z11</f>
        <v>Complete</v>
      </c>
      <c r="AU5" s="64" t="str">
        <f>'Geo &amp; CIC Deployment Plan'!AB11</f>
        <v>Complete</v>
      </c>
      <c r="AV5" s="64" t="str">
        <f>'Geo &amp; CIC Deployment Plan'!AD11</f>
        <v>Complete</v>
      </c>
      <c r="AW5" s="64"/>
      <c r="AX5" s="64" t="str">
        <f>'Geo &amp; CIC Deployment Plan'!AE11</f>
        <v>Planned</v>
      </c>
      <c r="AY5" s="64" t="str">
        <f>'Geo &amp; CIC Deployment Plan'!AF11</f>
        <v>Planned</v>
      </c>
      <c r="AZ5" s="64">
        <f>'Geo &amp; CIC Deployment Plan'!V11</f>
        <v>81</v>
      </c>
      <c r="BA5" s="64">
        <v>89</v>
      </c>
      <c r="BB5" s="65" t="s">
        <v>1258</v>
      </c>
      <c r="BC5" s="65" t="s">
        <v>390</v>
      </c>
      <c r="BD5" s="66" t="s">
        <v>1449</v>
      </c>
      <c r="BE5" s="67" t="e">
        <f>'Geo &amp; CIC Deployment Plan'!#REF!</f>
        <v>#REF!</v>
      </c>
      <c r="BF5" s="67" t="e">
        <f>'Geo &amp; CIC Deployment Plan'!#REF!</f>
        <v>#REF!</v>
      </c>
      <c r="BG5" s="67" t="e">
        <f>'Geo &amp; CIC Deployment Plan'!#REF!</f>
        <v>#REF!</v>
      </c>
      <c r="BH5" s="67" t="e">
        <f>'Geo &amp; CIC Deployment Plan'!#REF!</f>
        <v>#REF!</v>
      </c>
      <c r="BI5" s="67" t="e">
        <f>'Geo &amp; CIC Deployment Plan'!#REF!</f>
        <v>#REF!</v>
      </c>
      <c r="BJ5" s="67"/>
      <c r="BK5" s="67" t="e">
        <f>'Geo &amp; CIC Deployment Plan'!#REF!</f>
        <v>#REF!</v>
      </c>
      <c r="BL5" s="67" t="e">
        <f>'Geo &amp; CIC Deployment Plan'!#REF!</f>
        <v>#REF!</v>
      </c>
      <c r="BM5" s="64" t="e">
        <f>'Geo &amp; CIC Deployment Plan'!#REF!</f>
        <v>#REF!</v>
      </c>
      <c r="BN5" s="64">
        <v>60</v>
      </c>
      <c r="BO5" s="65" t="s">
        <v>1258</v>
      </c>
      <c r="BP5" s="65" t="s">
        <v>1450</v>
      </c>
      <c r="BQ5" s="66" t="s">
        <v>1451</v>
      </c>
      <c r="BR5" s="67" t="str">
        <f>'Geo &amp; CIC Deployment Plan'!AG154</f>
        <v>New GBS Associates Induction</v>
      </c>
      <c r="BS5" s="67" t="str">
        <f>'Geo &amp; CIC Deployment Plan'!AH154</f>
        <v>Virtual</v>
      </c>
      <c r="BT5" s="67" t="str">
        <f>'Geo &amp; CIC Deployment Plan'!Z154</f>
        <v>Complete</v>
      </c>
      <c r="BU5" s="67" t="str">
        <f>'Geo &amp; CIC Deployment Plan'!AB154</f>
        <v>Complete</v>
      </c>
      <c r="BV5" s="67" t="str">
        <f>'Geo &amp; CIC Deployment Plan'!AD154</f>
        <v>Complete</v>
      </c>
      <c r="BW5" s="68">
        <v>0</v>
      </c>
      <c r="BX5" s="67" t="str">
        <f>'Geo &amp; CIC Deployment Plan'!AE154</f>
        <v>Planned</v>
      </c>
      <c r="BY5" s="67" t="str">
        <f>'Geo &amp; CIC Deployment Plan'!AF154</f>
        <v>Planned</v>
      </c>
      <c r="BZ5" s="64">
        <f>'Geo &amp; CIC Deployment Plan'!V154</f>
        <v>22</v>
      </c>
      <c r="CA5" s="64">
        <v>73</v>
      </c>
      <c r="CB5" s="65" t="s">
        <v>1452</v>
      </c>
      <c r="CC5" s="65" t="s">
        <v>1289</v>
      </c>
      <c r="CD5" s="66" t="s">
        <v>1453</v>
      </c>
      <c r="CE5" s="67" t="str">
        <f>'Geo &amp; CIC Deployment Plan'!AG517</f>
        <v>New GBS Associates Induction</v>
      </c>
      <c r="CF5" s="67" t="str">
        <f>'Geo &amp; CIC Deployment Plan'!AH517</f>
        <v>Virtual</v>
      </c>
      <c r="CG5" s="67" t="str">
        <f>'Geo &amp; CIC Deployment Plan'!Z517</f>
        <v>Complete</v>
      </c>
      <c r="CH5" s="67" t="str">
        <f>'Geo &amp; CIC Deployment Plan'!AB517</f>
        <v>Complete</v>
      </c>
      <c r="CI5" s="67" t="str">
        <f>'Geo &amp; CIC Deployment Plan'!AD517</f>
        <v>Complete</v>
      </c>
      <c r="CJ5" s="68">
        <v>0</v>
      </c>
      <c r="CK5" s="67" t="str">
        <f>'Geo &amp; CIC Deployment Plan'!AE517</f>
        <v>Planned</v>
      </c>
      <c r="CL5" s="67" t="str">
        <f>'Geo &amp; CIC Deployment Plan'!AF517</f>
        <v>Planned</v>
      </c>
      <c r="CM5" s="64">
        <f>'Geo &amp; CIC Deployment Plan'!U517</f>
        <v>9</v>
      </c>
      <c r="CN5" s="64"/>
      <c r="CO5" s="65" t="s">
        <v>1452</v>
      </c>
      <c r="CP5" s="65" t="s">
        <v>1289</v>
      </c>
      <c r="CQ5" s="66" t="s">
        <v>1454</v>
      </c>
      <c r="CR5" s="67" t="str">
        <f>'Geo &amp; CIC Deployment Plan'!AG518</f>
        <v>New GBS Associates Induction</v>
      </c>
      <c r="CS5" s="67" t="str">
        <f>'Geo &amp; CIC Deployment Plan'!AH518</f>
        <v>Virtual</v>
      </c>
      <c r="CT5" s="67" t="str">
        <f>'Geo &amp; CIC Deployment Plan'!Z518</f>
        <v>Complete</v>
      </c>
      <c r="CU5" s="67" t="str">
        <f>'Geo &amp; CIC Deployment Plan'!AB518</f>
        <v>Complete</v>
      </c>
      <c r="CV5" s="67" t="str">
        <f>'Geo &amp; CIC Deployment Plan'!AD518</f>
        <v>Complete</v>
      </c>
      <c r="CW5" s="67"/>
      <c r="CX5" s="67" t="str">
        <f>'Geo &amp; CIC Deployment Plan'!AE518</f>
        <v>Planned</v>
      </c>
      <c r="CY5" s="67" t="str">
        <f>'Geo &amp; CIC Deployment Plan'!AF518</f>
        <v>Planned</v>
      </c>
      <c r="CZ5" s="69">
        <f>'Geo &amp; CIC Deployment Plan'!U518</f>
        <v>13</v>
      </c>
      <c r="DA5" s="69"/>
      <c r="DB5" s="65" t="s">
        <v>1452</v>
      </c>
      <c r="DC5" s="65" t="s">
        <v>1289</v>
      </c>
      <c r="DD5" s="66" t="s">
        <v>1455</v>
      </c>
      <c r="DE5" s="67" t="str">
        <f>'Geo &amp; CIC Deployment Plan'!AG519</f>
        <v>New GBS Associates Induction</v>
      </c>
      <c r="DF5" s="67" t="str">
        <f>'Geo &amp; CIC Deployment Plan'!AH519</f>
        <v>Virtual</v>
      </c>
      <c r="DG5" s="67" t="str">
        <f>'Geo &amp; CIC Deployment Plan'!Z519</f>
        <v>Complete</v>
      </c>
      <c r="DH5" s="67" t="str">
        <f>'Geo &amp; CIC Deployment Plan'!AB519</f>
        <v>Complete</v>
      </c>
      <c r="DI5" s="67" t="str">
        <f>'Geo &amp; CIC Deployment Plan'!AD519</f>
        <v>In Progress</v>
      </c>
      <c r="DJ5" s="67"/>
      <c r="DK5" s="67" t="str">
        <f>'Geo &amp; CIC Deployment Plan'!AE519</f>
        <v>Planned</v>
      </c>
      <c r="DL5" s="67" t="str">
        <f>'Geo &amp; CIC Deployment Plan'!AF519</f>
        <v>Planned</v>
      </c>
      <c r="DM5" s="64">
        <f>'Geo &amp; CIC Deployment Plan'!U519</f>
        <v>15</v>
      </c>
      <c r="DN5" s="64"/>
      <c r="DO5" s="65" t="s">
        <v>1258</v>
      </c>
      <c r="DP5" s="65" t="s">
        <v>1286</v>
      </c>
      <c r="DQ5" s="66" t="s">
        <v>1456</v>
      </c>
      <c r="DR5" s="67" t="str">
        <f>'Geo &amp; CIC Deployment Plan'!AG$253</f>
        <v>New GBS Associates Induction</v>
      </c>
      <c r="DS5" s="67" t="str">
        <f>'Geo &amp; CIC Deployment Plan'!AH$253</f>
        <v>Virtual</v>
      </c>
      <c r="DT5" s="67" t="str">
        <f>'Geo &amp; CIC Deployment Plan'!Z$253</f>
        <v>Complete</v>
      </c>
      <c r="DU5" s="67" t="str">
        <f>'Geo &amp; CIC Deployment Plan'!AB$253</f>
        <v>Complete</v>
      </c>
      <c r="DV5" s="67" t="str">
        <f>'Geo &amp; CIC Deployment Plan'!AD$253</f>
        <v>Tentative</v>
      </c>
      <c r="DW5" s="67"/>
      <c r="DX5" s="67" t="str">
        <f>'Geo &amp; CIC Deployment Plan'!AE$253</f>
        <v>Tentative</v>
      </c>
      <c r="DY5" s="67" t="str">
        <f>'Geo &amp; CIC Deployment Plan'!AF$253</f>
        <v>Tentative</v>
      </c>
      <c r="DZ5" s="64">
        <f>'Geo &amp; CIC Deployment Plan'!V253</f>
        <v>12</v>
      </c>
      <c r="EA5" s="64"/>
      <c r="EB5" s="65" t="s">
        <v>1258</v>
      </c>
      <c r="EC5" s="65" t="s">
        <v>1286</v>
      </c>
      <c r="ED5" s="66" t="s">
        <v>1457</v>
      </c>
      <c r="EE5" s="67" t="str">
        <f>'Geo &amp; CIC Deployment Plan'!AG$256</f>
        <v>New GBS Associates Induction</v>
      </c>
      <c r="EF5" s="67" t="str">
        <f>'Geo &amp; CIC Deployment Plan'!AH$256</f>
        <v>Virtual</v>
      </c>
      <c r="EG5" s="67" t="str">
        <f>'Geo &amp; CIC Deployment Plan'!Z$256</f>
        <v>Complete</v>
      </c>
      <c r="EH5" s="67" t="str">
        <f>'Geo &amp; CIC Deployment Plan'!AB$256</f>
        <v>Complete</v>
      </c>
      <c r="EI5" s="67" t="str">
        <f>'Geo &amp; CIC Deployment Plan'!AD$256</f>
        <v>Tentative</v>
      </c>
      <c r="EJ5" s="67"/>
      <c r="EK5" s="67" t="str">
        <f>'Geo &amp; CIC Deployment Plan'!AE$256</f>
        <v>Tentative</v>
      </c>
      <c r="EL5" s="67" t="str">
        <f>'Geo &amp; CIC Deployment Plan'!AF$256</f>
        <v>Tentative</v>
      </c>
      <c r="EM5" s="64">
        <f>'Geo &amp; CIC Deployment Plan'!V256</f>
        <v>20</v>
      </c>
      <c r="EN5" s="64"/>
      <c r="EO5" s="65" t="s">
        <v>1258</v>
      </c>
      <c r="EP5" s="65" t="s">
        <v>1135</v>
      </c>
      <c r="EQ5" s="66" t="s">
        <v>1458</v>
      </c>
      <c r="ER5" s="67" t="e">
        <f>'Geo &amp; CIC Deployment Plan'!#REF!</f>
        <v>#REF!</v>
      </c>
      <c r="ES5" s="67" t="e">
        <f>'Geo &amp; CIC Deployment Plan'!#REF!</f>
        <v>#REF!</v>
      </c>
      <c r="ET5" s="67" t="e">
        <f>'Geo &amp; CIC Deployment Plan'!#REF!</f>
        <v>#REF!</v>
      </c>
      <c r="EU5" s="67" t="e">
        <f>'Geo &amp; CIC Deployment Plan'!#REF!</f>
        <v>#REF!</v>
      </c>
      <c r="EV5" s="67" t="e">
        <f>'Geo &amp; CIC Deployment Plan'!#REF!</f>
        <v>#REF!</v>
      </c>
      <c r="EW5" s="67"/>
      <c r="EX5" s="67" t="e">
        <f>'Geo &amp; CIC Deployment Plan'!#REF!</f>
        <v>#REF!</v>
      </c>
      <c r="EY5" s="67" t="e">
        <f>'Geo &amp; CIC Deployment Plan'!#REF!</f>
        <v>#REF!</v>
      </c>
      <c r="EZ5" s="64" t="e">
        <f>'Geo &amp; CIC Deployment Plan'!#REF!</f>
        <v>#REF!</v>
      </c>
      <c r="FA5" s="64"/>
      <c r="FC5" s="48"/>
      <c r="FD5" s="48"/>
      <c r="FE5" s="48"/>
      <c r="FF5" s="48"/>
      <c r="FG5" s="48"/>
      <c r="FH5" s="48"/>
      <c r="FI5" s="48"/>
      <c r="FJ5" s="48"/>
      <c r="FK5" s="48"/>
      <c r="FL5" s="48"/>
      <c r="FM5" s="48"/>
      <c r="FN5" s="48"/>
      <c r="FO5" s="48"/>
      <c r="FP5" s="48"/>
      <c r="FQ5" s="48"/>
      <c r="FR5" s="48"/>
      <c r="FS5" s="48"/>
      <c r="FT5" s="48"/>
      <c r="FU5" s="48"/>
      <c r="FV5" s="48"/>
      <c r="FX5" s="50"/>
      <c r="FY5" s="50"/>
      <c r="FZ5" s="50"/>
      <c r="GA5" s="50"/>
    </row>
    <row r="6" spans="2:185" ht="22.5" customHeight="1">
      <c r="D6" s="548" t="s">
        <v>1459</v>
      </c>
      <c r="E6" s="549"/>
      <c r="F6" s="549"/>
      <c r="G6" s="549"/>
      <c r="H6" s="549"/>
      <c r="I6" s="549"/>
      <c r="J6" s="549"/>
      <c r="K6" s="549"/>
      <c r="L6" s="549"/>
      <c r="M6" s="549"/>
      <c r="N6" s="550"/>
      <c r="O6" s="65"/>
      <c r="P6" s="65"/>
      <c r="Q6" s="548" t="s">
        <v>1460</v>
      </c>
      <c r="R6" s="549"/>
      <c r="S6" s="549"/>
      <c r="T6" s="549"/>
      <c r="U6" s="549"/>
      <c r="V6" s="549"/>
      <c r="W6" s="549"/>
      <c r="X6" s="549"/>
      <c r="Y6" s="549"/>
      <c r="Z6" s="549"/>
      <c r="AA6" s="550"/>
      <c r="AB6" s="65"/>
      <c r="AC6" s="65"/>
      <c r="AD6" s="548" t="s">
        <v>1461</v>
      </c>
      <c r="AE6" s="549"/>
      <c r="AF6" s="549"/>
      <c r="AG6" s="549"/>
      <c r="AH6" s="549"/>
      <c r="AI6" s="549"/>
      <c r="AJ6" s="549"/>
      <c r="AK6" s="549"/>
      <c r="AL6" s="549"/>
      <c r="AM6" s="549"/>
      <c r="AN6" s="550"/>
      <c r="AO6" s="65"/>
      <c r="AP6" s="65"/>
      <c r="AQ6" s="548" t="s">
        <v>1462</v>
      </c>
      <c r="AR6" s="549"/>
      <c r="AS6" s="549"/>
      <c r="AT6" s="549"/>
      <c r="AU6" s="549"/>
      <c r="AV6" s="549"/>
      <c r="AW6" s="549"/>
      <c r="AX6" s="549"/>
      <c r="AY6" s="549"/>
      <c r="AZ6" s="549"/>
      <c r="BA6" s="550"/>
      <c r="BB6" s="65"/>
      <c r="BC6" s="65"/>
      <c r="BD6" s="548" t="s">
        <v>1443</v>
      </c>
      <c r="BE6" s="549"/>
      <c r="BF6" s="549"/>
      <c r="BG6" s="549"/>
      <c r="BH6" s="549"/>
      <c r="BI6" s="549"/>
      <c r="BJ6" s="549"/>
      <c r="BK6" s="549"/>
      <c r="BL6" s="549"/>
      <c r="BM6" s="549"/>
      <c r="BN6" s="550"/>
      <c r="BO6" s="65"/>
      <c r="BP6" s="65"/>
      <c r="BQ6" s="548" t="s">
        <v>1443</v>
      </c>
      <c r="BR6" s="549"/>
      <c r="BS6" s="549"/>
      <c r="BT6" s="549"/>
      <c r="BU6" s="549"/>
      <c r="BV6" s="549"/>
      <c r="BW6" s="549"/>
      <c r="BX6" s="549"/>
      <c r="BY6" s="549"/>
      <c r="BZ6" s="549"/>
      <c r="CA6" s="550"/>
      <c r="CB6" s="65"/>
      <c r="CC6" s="65"/>
      <c r="CD6" s="548" t="s">
        <v>1439</v>
      </c>
      <c r="CE6" s="549"/>
      <c r="CF6" s="549"/>
      <c r="CG6" s="549"/>
      <c r="CH6" s="549"/>
      <c r="CI6" s="549"/>
      <c r="CJ6" s="549"/>
      <c r="CK6" s="549"/>
      <c r="CL6" s="549"/>
      <c r="CM6" s="549"/>
      <c r="CN6" s="550"/>
      <c r="CO6" s="65"/>
      <c r="CP6" s="65"/>
      <c r="CQ6" s="548" t="s">
        <v>1439</v>
      </c>
      <c r="CR6" s="549"/>
      <c r="CS6" s="549"/>
      <c r="CT6" s="549"/>
      <c r="CU6" s="549"/>
      <c r="CV6" s="549"/>
      <c r="CW6" s="549"/>
      <c r="CX6" s="549"/>
      <c r="CY6" s="549"/>
      <c r="CZ6" s="549"/>
      <c r="DA6" s="550"/>
      <c r="DB6" s="65"/>
      <c r="DC6" s="65"/>
      <c r="DD6" s="548" t="s">
        <v>1443</v>
      </c>
      <c r="DE6" s="549"/>
      <c r="DF6" s="549"/>
      <c r="DG6" s="549"/>
      <c r="DH6" s="549"/>
      <c r="DI6" s="549"/>
      <c r="DJ6" s="549"/>
      <c r="DK6" s="549"/>
      <c r="DL6" s="549"/>
      <c r="DM6" s="549"/>
      <c r="DN6" s="550"/>
      <c r="DO6" s="65"/>
      <c r="DP6" s="65"/>
      <c r="DQ6" s="548" t="s">
        <v>1442</v>
      </c>
      <c r="DR6" s="549"/>
      <c r="DS6" s="549"/>
      <c r="DT6" s="549"/>
      <c r="DU6" s="549"/>
      <c r="DV6" s="549"/>
      <c r="DW6" s="549"/>
      <c r="DX6" s="549"/>
      <c r="DY6" s="549"/>
      <c r="DZ6" s="549"/>
      <c r="EA6" s="550"/>
      <c r="EB6" s="65"/>
      <c r="EC6" s="65"/>
      <c r="ED6" s="548" t="s">
        <v>1439</v>
      </c>
      <c r="EE6" s="549"/>
      <c r="EF6" s="549"/>
      <c r="EG6" s="549"/>
      <c r="EH6" s="549"/>
      <c r="EI6" s="549"/>
      <c r="EJ6" s="549"/>
      <c r="EK6" s="549"/>
      <c r="EL6" s="549"/>
      <c r="EM6" s="549"/>
      <c r="EN6" s="550"/>
      <c r="EO6" s="65"/>
      <c r="EP6" s="65"/>
      <c r="EQ6" s="548" t="s">
        <v>1439</v>
      </c>
      <c r="ER6" s="549"/>
      <c r="ES6" s="549"/>
      <c r="ET6" s="549"/>
      <c r="EU6" s="549"/>
      <c r="EV6" s="549"/>
      <c r="EW6" s="549"/>
      <c r="EX6" s="549"/>
      <c r="EY6" s="549"/>
      <c r="EZ6" s="549"/>
      <c r="FA6" s="550"/>
      <c r="FC6" s="48"/>
      <c r="FD6" s="48"/>
      <c r="FE6" s="48"/>
      <c r="FF6" s="48"/>
      <c r="FG6" s="48"/>
      <c r="FH6" s="48"/>
      <c r="FI6" s="48"/>
      <c r="FJ6" s="48"/>
      <c r="FK6" s="48"/>
      <c r="FL6" s="48"/>
      <c r="FM6" s="48"/>
      <c r="FN6" s="48"/>
      <c r="FO6" s="48"/>
      <c r="FP6" s="48"/>
      <c r="FQ6" s="48"/>
      <c r="FR6" s="48"/>
      <c r="FS6" s="48"/>
      <c r="FT6" s="48"/>
      <c r="FU6" s="48"/>
      <c r="FV6" s="48"/>
      <c r="FX6" s="50"/>
      <c r="FY6" s="50"/>
      <c r="FZ6" s="50"/>
      <c r="GA6" s="50"/>
    </row>
    <row r="7" spans="2:185" ht="24">
      <c r="B7" s="27" t="s">
        <v>1257</v>
      </c>
      <c r="C7" s="26" t="s">
        <v>1289</v>
      </c>
      <c r="D7" s="66" t="s">
        <v>1463</v>
      </c>
      <c r="E7" s="64" t="e">
        <f>'Geo &amp; CIC Deployment Plan'!#REF!</f>
        <v>#REF!</v>
      </c>
      <c r="F7" s="64" t="e">
        <f>'Geo &amp; CIC Deployment Plan'!#REF!</f>
        <v>#REF!</v>
      </c>
      <c r="G7" s="64" t="e">
        <f>'Geo &amp; CIC Deployment Plan'!#REF!</f>
        <v>#REF!</v>
      </c>
      <c r="H7" s="64" t="e">
        <f>'Geo &amp; CIC Deployment Plan'!#REF!</f>
        <v>#REF!</v>
      </c>
      <c r="I7" s="64" t="e">
        <f>'Geo &amp; CIC Deployment Plan'!#REF!</f>
        <v>#REF!</v>
      </c>
      <c r="J7" s="70">
        <v>0</v>
      </c>
      <c r="K7" s="64" t="e">
        <f>'Geo &amp; CIC Deployment Plan'!#REF!</f>
        <v>#REF!</v>
      </c>
      <c r="L7" s="64" t="e">
        <f>'Geo &amp; CIC Deployment Plan'!#REF!</f>
        <v>#REF!</v>
      </c>
      <c r="M7" s="64" t="e">
        <f>'Geo &amp; CIC Deployment Plan'!#REF!</f>
        <v>#REF!</v>
      </c>
      <c r="N7" s="64"/>
      <c r="O7" s="65" t="s">
        <v>1258</v>
      </c>
      <c r="P7" s="65" t="s">
        <v>918</v>
      </c>
      <c r="Q7" s="66" t="s">
        <v>1464</v>
      </c>
      <c r="R7" s="64" t="str">
        <f>'Geo &amp; CIC Deployment Plan'!AG367</f>
        <v>Legacy CIC</v>
      </c>
      <c r="S7" s="64" t="str">
        <f>'Geo &amp; CIC Deployment Plan'!AH367</f>
        <v>F2F</v>
      </c>
      <c r="T7" s="64" t="str">
        <f>'Geo &amp; CIC Deployment Plan'!Z367</f>
        <v>Complete</v>
      </c>
      <c r="U7" s="64" t="str">
        <f>'Geo &amp; CIC Deployment Plan'!AC367</f>
        <v>In Progress</v>
      </c>
      <c r="V7" s="64" t="str">
        <f>'Geo &amp; CIC Deployment Plan'!AD367</f>
        <v>Complete</v>
      </c>
      <c r="W7" s="64"/>
      <c r="X7" s="64" t="str">
        <f>'Geo &amp; CIC Deployment Plan'!AE367</f>
        <v>Planned</v>
      </c>
      <c r="Y7" s="64" t="str">
        <f>'Geo &amp; CIC Deployment Plan'!AF367</f>
        <v>Planned</v>
      </c>
      <c r="Z7" s="64">
        <f>'Geo &amp; CIC Deployment Plan'!V367</f>
        <v>7</v>
      </c>
      <c r="AA7" s="64"/>
      <c r="AB7" s="65" t="s">
        <v>1452</v>
      </c>
      <c r="AC7" s="65" t="s">
        <v>1310</v>
      </c>
      <c r="AD7" s="66" t="s">
        <v>1465</v>
      </c>
      <c r="AE7" s="64" t="str">
        <f>'Geo &amp; CIC Deployment Plan'!AG428</f>
        <v>New GBS Associates Induction</v>
      </c>
      <c r="AF7" s="64" t="str">
        <f>'Geo &amp; CIC Deployment Plan'!AH428</f>
        <v>F2F</v>
      </c>
      <c r="AG7" s="64" t="str">
        <f>'Geo &amp; CIC Deployment Plan'!Z428</f>
        <v>Complete</v>
      </c>
      <c r="AH7" s="64" t="str">
        <f>'Geo &amp; CIC Deployment Plan'!AB428</f>
        <v>Complete</v>
      </c>
      <c r="AI7" s="64" t="str">
        <f>'Geo &amp; CIC Deployment Plan'!AD428</f>
        <v>Complete</v>
      </c>
      <c r="AJ7" s="64"/>
      <c r="AK7" s="64" t="str">
        <f>'Geo &amp; CIC Deployment Plan'!AE428</f>
        <v>Planned</v>
      </c>
      <c r="AL7" s="64" t="str">
        <f>'Geo &amp; CIC Deployment Plan'!AF428</f>
        <v>Planned</v>
      </c>
      <c r="AM7" s="64">
        <f>'Geo &amp; CIC Deployment Plan'!U428</f>
        <v>18</v>
      </c>
      <c r="AN7" s="64" t="str">
        <f>'Geo &amp; CIC Deployment Plan'!AK428</f>
        <v>Week 1  93 
Week 2 82</v>
      </c>
      <c r="AO7" s="65" t="s">
        <v>1258</v>
      </c>
      <c r="AP7" s="65" t="s">
        <v>918</v>
      </c>
      <c r="AQ7" s="66" t="s">
        <v>1466</v>
      </c>
      <c r="AR7" s="64" t="str">
        <f>'Geo &amp; CIC Deployment Plan'!AG376</f>
        <v>New GBS Associates Induction</v>
      </c>
      <c r="AS7" s="64" t="str">
        <f>'Geo &amp; CIC Deployment Plan'!AH376</f>
        <v>Virtual</v>
      </c>
      <c r="AT7" s="64" t="str">
        <f>'Geo &amp; CIC Deployment Plan'!Z376</f>
        <v>Complete</v>
      </c>
      <c r="AU7" s="64" t="str">
        <f>'Geo &amp; CIC Deployment Plan'!AB376</f>
        <v>Complete</v>
      </c>
      <c r="AV7" s="64" t="str">
        <f>'Geo &amp; CIC Deployment Plan'!AD376</f>
        <v>Complete</v>
      </c>
      <c r="AW7" s="70">
        <v>0</v>
      </c>
      <c r="AX7" s="64" t="str">
        <f>'Geo &amp; CIC Deployment Plan'!AE376</f>
        <v>Planned</v>
      </c>
      <c r="AY7" s="64" t="str">
        <f>'Geo &amp; CIC Deployment Plan'!AF376</f>
        <v>Planned</v>
      </c>
      <c r="AZ7" s="64">
        <f>'Geo &amp; CIC Deployment Plan'!V376</f>
        <v>17</v>
      </c>
      <c r="BA7" s="64">
        <v>100</v>
      </c>
      <c r="BB7" s="65" t="s">
        <v>1258</v>
      </c>
      <c r="BC7" s="65" t="s">
        <v>1286</v>
      </c>
      <c r="BD7" s="66" t="s">
        <v>1467</v>
      </c>
      <c r="BE7" s="67" t="str">
        <f>'Geo &amp; CIC Deployment Plan'!AG240</f>
        <v>New GBS Associates Induction</v>
      </c>
      <c r="BF7" s="67" t="str">
        <f>'Geo &amp; CIC Deployment Plan'!AH240</f>
        <v>Virtual</v>
      </c>
      <c r="BG7" s="67" t="str">
        <f>'Geo &amp; CIC Deployment Plan'!Z240</f>
        <v>Complete</v>
      </c>
      <c r="BH7" s="67" t="str">
        <f>'Geo &amp; CIC Deployment Plan'!AB240</f>
        <v>Complete</v>
      </c>
      <c r="BI7" s="67" t="str">
        <f>'Geo &amp; CIC Deployment Plan'!AD240</f>
        <v>Complete</v>
      </c>
      <c r="BJ7" s="68">
        <v>0</v>
      </c>
      <c r="BK7" s="67" t="str">
        <f>'Geo &amp; CIC Deployment Plan'!AE240</f>
        <v>Planned</v>
      </c>
      <c r="BL7" s="67" t="str">
        <f>'Geo &amp; CIC Deployment Plan'!AF240</f>
        <v>Planned</v>
      </c>
      <c r="BM7" s="64">
        <f>'Geo &amp; CIC Deployment Plan'!V240</f>
        <v>32</v>
      </c>
      <c r="BN7" s="64">
        <v>71</v>
      </c>
      <c r="BO7" s="65" t="s">
        <v>1258</v>
      </c>
      <c r="BP7" s="65" t="s">
        <v>1286</v>
      </c>
      <c r="BQ7" s="66" t="s">
        <v>1468</v>
      </c>
      <c r="BR7" s="67" t="str">
        <f>'Geo &amp; CIC Deployment Plan'!AG243</f>
        <v>New GBS Associates Induction</v>
      </c>
      <c r="BS7" s="67" t="str">
        <f>'Geo &amp; CIC Deployment Plan'!AH243</f>
        <v>Virtual</v>
      </c>
      <c r="BT7" s="67" t="str">
        <f>'Geo &amp; CIC Deployment Plan'!Z243</f>
        <v>Complete</v>
      </c>
      <c r="BU7" s="67" t="str">
        <f>'Geo &amp; CIC Deployment Plan'!AB243</f>
        <v>Complete</v>
      </c>
      <c r="BV7" s="67" t="str">
        <f>'Geo &amp; CIC Deployment Plan'!AD243</f>
        <v>Complete</v>
      </c>
      <c r="BW7" s="67"/>
      <c r="BX7" s="67" t="str">
        <f>'Geo &amp; CIC Deployment Plan'!AE243</f>
        <v>Planned</v>
      </c>
      <c r="BY7" s="67" t="str">
        <f>'Geo &amp; CIC Deployment Plan'!AF243</f>
        <v>Planned</v>
      </c>
      <c r="BZ7" s="64">
        <f>'Geo &amp; CIC Deployment Plan'!V243</f>
        <v>31</v>
      </c>
      <c r="CA7" s="64"/>
      <c r="CB7" s="65" t="s">
        <v>1258</v>
      </c>
      <c r="CC7" s="65" t="s">
        <v>390</v>
      </c>
      <c r="CD7" s="66" t="s">
        <v>1469</v>
      </c>
      <c r="CE7" s="67" t="e">
        <f>'Geo &amp; CIC Deployment Plan'!#REF!</f>
        <v>#REF!</v>
      </c>
      <c r="CF7" s="67" t="e">
        <f>'Geo &amp; CIC Deployment Plan'!#REF!</f>
        <v>#REF!</v>
      </c>
      <c r="CG7" s="67" t="e">
        <f>'Geo &amp; CIC Deployment Plan'!#REF!</f>
        <v>#REF!</v>
      </c>
      <c r="CH7" s="67" t="e">
        <f>'Geo &amp; CIC Deployment Plan'!#REF!</f>
        <v>#REF!</v>
      </c>
      <c r="CI7" s="67" t="e">
        <f>'Geo &amp; CIC Deployment Plan'!#REF!</f>
        <v>#REF!</v>
      </c>
      <c r="CJ7" s="67"/>
      <c r="CK7" s="67" t="e">
        <f>'Geo &amp; CIC Deployment Plan'!#REF!</f>
        <v>#REF!</v>
      </c>
      <c r="CL7" s="67" t="e">
        <f>'Geo &amp; CIC Deployment Plan'!#REF!</f>
        <v>#REF!</v>
      </c>
      <c r="CM7" s="64" t="e">
        <f>'Geo &amp; CIC Deployment Plan'!#REF!</f>
        <v>#REF!</v>
      </c>
      <c r="CN7" s="64"/>
      <c r="CO7" s="65" t="s">
        <v>1258</v>
      </c>
      <c r="CP7" s="65" t="s">
        <v>390</v>
      </c>
      <c r="CQ7" s="66" t="s">
        <v>1470</v>
      </c>
      <c r="CR7" s="67" t="e">
        <f>'Geo &amp; CIC Deployment Plan'!#REF!</f>
        <v>#REF!</v>
      </c>
      <c r="CS7" s="67" t="e">
        <f>'Geo &amp; CIC Deployment Plan'!#REF!</f>
        <v>#REF!</v>
      </c>
      <c r="CT7" s="67" t="e">
        <f>'Geo &amp; CIC Deployment Plan'!#REF!</f>
        <v>#REF!</v>
      </c>
      <c r="CU7" s="67" t="e">
        <f>'Geo &amp; CIC Deployment Plan'!#REF!</f>
        <v>#REF!</v>
      </c>
      <c r="CV7" s="67" t="e">
        <f>'Geo &amp; CIC Deployment Plan'!#REF!</f>
        <v>#REF!</v>
      </c>
      <c r="CW7" s="67"/>
      <c r="CX7" s="67" t="e">
        <f>'Geo &amp; CIC Deployment Plan'!#REF!</f>
        <v>#REF!</v>
      </c>
      <c r="CY7" s="67" t="e">
        <f>'Geo &amp; CIC Deployment Plan'!#REF!</f>
        <v>#REF!</v>
      </c>
      <c r="CZ7" s="64" t="e">
        <f>'Geo &amp; CIC Deployment Plan'!#REF!</f>
        <v>#REF!</v>
      </c>
      <c r="DA7" s="64"/>
      <c r="DB7" s="65" t="s">
        <v>1258</v>
      </c>
      <c r="DC7" s="65" t="s">
        <v>1286</v>
      </c>
      <c r="DD7" s="66" t="s">
        <v>1471</v>
      </c>
      <c r="DE7" s="67" t="str">
        <f>'Geo &amp; CIC Deployment Plan'!AG250</f>
        <v>New GBS Associates Induction</v>
      </c>
      <c r="DF7" s="67" t="str">
        <f>'Geo &amp; CIC Deployment Plan'!AH250</f>
        <v>Virtual</v>
      </c>
      <c r="DG7" s="67" t="str">
        <f>'Geo &amp; CIC Deployment Plan'!Z250</f>
        <v>Complete</v>
      </c>
      <c r="DH7" s="67" t="str">
        <f>'Geo &amp; CIC Deployment Plan'!AB250</f>
        <v>Complete</v>
      </c>
      <c r="DI7" s="67" t="str">
        <f>'Geo &amp; CIC Deployment Plan'!AD250</f>
        <v>Tentative</v>
      </c>
      <c r="DJ7" s="67"/>
      <c r="DK7" s="67" t="str">
        <f>'Geo &amp; CIC Deployment Plan'!AE250</f>
        <v>Tentative</v>
      </c>
      <c r="DL7" s="67" t="str">
        <f>'Geo &amp; CIC Deployment Plan'!AF250</f>
        <v>Tentative</v>
      </c>
      <c r="DM7" s="64">
        <f>'Geo &amp; CIC Deployment Plan'!V250</f>
        <v>6</v>
      </c>
      <c r="DN7" s="64"/>
      <c r="DO7" s="65" t="s">
        <v>1452</v>
      </c>
      <c r="DP7" s="65" t="s">
        <v>1289</v>
      </c>
      <c r="DQ7" s="66" t="s">
        <v>1472</v>
      </c>
      <c r="DR7" s="67" t="str">
        <f>'Geo &amp; CIC Deployment Plan'!AG520</f>
        <v>New GBS Associates Induction</v>
      </c>
      <c r="DS7" s="67" t="str">
        <f>'Geo &amp; CIC Deployment Plan'!AH520</f>
        <v>Virtual</v>
      </c>
      <c r="DT7" s="67" t="str">
        <f>'Geo &amp; CIC Deployment Plan'!Z520</f>
        <v>Complete</v>
      </c>
      <c r="DU7" s="67" t="str">
        <f>'Geo &amp; CIC Deployment Plan'!AB520</f>
        <v>Complete</v>
      </c>
      <c r="DV7" s="67" t="str">
        <f>'Geo &amp; CIC Deployment Plan'!AD520</f>
        <v>Planned</v>
      </c>
      <c r="DW7" s="67"/>
      <c r="DX7" s="67" t="str">
        <f>'Geo &amp; CIC Deployment Plan'!AE520</f>
        <v>Planned</v>
      </c>
      <c r="DY7" s="67" t="str">
        <f>'Geo &amp; CIC Deployment Plan'!AF520</f>
        <v>Planned</v>
      </c>
      <c r="DZ7" s="64">
        <f>'Geo &amp; CIC Deployment Plan'!U520</f>
        <v>18</v>
      </c>
      <c r="EA7" s="64"/>
      <c r="EB7" s="65" t="s">
        <v>1258</v>
      </c>
      <c r="EC7" s="65" t="s">
        <v>390</v>
      </c>
      <c r="ED7" s="66" t="s">
        <v>1473</v>
      </c>
      <c r="EE7" s="67" t="e">
        <f>'Geo &amp; CIC Deployment Plan'!#REF!</f>
        <v>#REF!</v>
      </c>
      <c r="EF7" s="67" t="e">
        <f>'Geo &amp; CIC Deployment Plan'!#REF!</f>
        <v>#REF!</v>
      </c>
      <c r="EG7" s="67" t="e">
        <f>'Geo &amp; CIC Deployment Plan'!#REF!</f>
        <v>#REF!</v>
      </c>
      <c r="EH7" s="67" t="e">
        <f>'Geo &amp; CIC Deployment Plan'!#REF!</f>
        <v>#REF!</v>
      </c>
      <c r="EI7" s="67" t="e">
        <f>'Geo &amp; CIC Deployment Plan'!#REF!</f>
        <v>#REF!</v>
      </c>
      <c r="EJ7" s="67"/>
      <c r="EK7" s="67" t="e">
        <f>'Geo &amp; CIC Deployment Plan'!#REF!</f>
        <v>#REF!</v>
      </c>
      <c r="EL7" s="67" t="e">
        <f>'Geo &amp; CIC Deployment Plan'!#REF!</f>
        <v>#REF!</v>
      </c>
      <c r="EM7" s="64" t="e">
        <f>'Geo &amp; CIC Deployment Plan'!#REF!</f>
        <v>#REF!</v>
      </c>
      <c r="EN7" s="64"/>
      <c r="EO7" s="65" t="s">
        <v>1258</v>
      </c>
      <c r="EP7" s="65" t="s">
        <v>390</v>
      </c>
      <c r="EQ7" s="66" t="s">
        <v>1474</v>
      </c>
      <c r="ER7" s="67" t="e">
        <f>'Geo &amp; CIC Deployment Plan'!#REF!</f>
        <v>#REF!</v>
      </c>
      <c r="ES7" s="67" t="e">
        <f>'Geo &amp; CIC Deployment Plan'!#REF!</f>
        <v>#REF!</v>
      </c>
      <c r="ET7" s="67" t="e">
        <f>'Geo &amp; CIC Deployment Plan'!#REF!</f>
        <v>#REF!</v>
      </c>
      <c r="EU7" s="67" t="e">
        <f>'Geo &amp; CIC Deployment Plan'!#REF!</f>
        <v>#REF!</v>
      </c>
      <c r="EV7" s="67" t="e">
        <f>'Geo &amp; CIC Deployment Plan'!#REF!</f>
        <v>#REF!</v>
      </c>
      <c r="EW7" s="67"/>
      <c r="EX7" s="67" t="e">
        <f>'Geo &amp; CIC Deployment Plan'!#REF!</f>
        <v>#REF!</v>
      </c>
      <c r="EY7" s="67" t="e">
        <f>'Geo &amp; CIC Deployment Plan'!#REF!</f>
        <v>#REF!</v>
      </c>
      <c r="EZ7" s="64" t="e">
        <f>'Geo &amp; CIC Deployment Plan'!#REF!</f>
        <v>#REF!</v>
      </c>
      <c r="FA7" s="64"/>
      <c r="FC7" s="48"/>
      <c r="FD7" s="48"/>
      <c r="FE7" s="48"/>
      <c r="FF7" s="48"/>
      <c r="FG7" s="48"/>
      <c r="FH7" s="48"/>
      <c r="FI7" s="48"/>
      <c r="FJ7" s="48"/>
      <c r="FK7" s="48"/>
      <c r="FL7" s="48"/>
      <c r="FM7" s="48"/>
      <c r="FN7" s="48"/>
      <c r="FO7" s="48"/>
      <c r="FP7" s="48"/>
      <c r="FQ7" s="48"/>
      <c r="FR7" s="48"/>
      <c r="FS7" s="48"/>
      <c r="FT7" s="48"/>
      <c r="FU7" s="48"/>
      <c r="FV7" s="48"/>
      <c r="FX7" s="50"/>
      <c r="FY7" s="50"/>
      <c r="FZ7" s="50"/>
      <c r="GA7" s="50"/>
    </row>
    <row r="8" spans="2:185" ht="24">
      <c r="D8" s="548" t="s">
        <v>1460</v>
      </c>
      <c r="E8" s="549"/>
      <c r="F8" s="549"/>
      <c r="G8" s="549"/>
      <c r="H8" s="549"/>
      <c r="I8" s="549"/>
      <c r="J8" s="549"/>
      <c r="K8" s="549"/>
      <c r="L8" s="549"/>
      <c r="M8" s="549"/>
      <c r="N8" s="550"/>
      <c r="O8" s="65" t="s">
        <v>1258</v>
      </c>
      <c r="P8" s="65" t="s">
        <v>918</v>
      </c>
      <c r="Q8" s="66" t="s">
        <v>1475</v>
      </c>
      <c r="R8" s="64" t="str">
        <f>'Geo &amp; CIC Deployment Plan'!AG368</f>
        <v>Legacy CIC</v>
      </c>
      <c r="S8" s="64" t="str">
        <f>'Geo &amp; CIC Deployment Plan'!AH368</f>
        <v>F2F</v>
      </c>
      <c r="T8" s="64" t="str">
        <f>'Geo &amp; CIC Deployment Plan'!Z368</f>
        <v>Complete</v>
      </c>
      <c r="U8" s="64" t="str">
        <f>'Geo &amp; CIC Deployment Plan'!AC368</f>
        <v>In Progress</v>
      </c>
      <c r="V8" s="64" t="str">
        <f>'Geo &amp; CIC Deployment Plan'!AD368</f>
        <v>Complete</v>
      </c>
      <c r="W8" s="64"/>
      <c r="X8" s="64" t="str">
        <f>'Geo &amp; CIC Deployment Plan'!AE368</f>
        <v>Planned</v>
      </c>
      <c r="Y8" s="64" t="str">
        <f>'Geo &amp; CIC Deployment Plan'!AF368</f>
        <v>Planned</v>
      </c>
      <c r="Z8" s="64">
        <f>'Geo &amp; CIC Deployment Plan'!V368</f>
        <v>2</v>
      </c>
      <c r="AA8" s="64"/>
      <c r="AB8" s="65"/>
      <c r="AC8" s="65"/>
      <c r="AD8" s="548" t="s">
        <v>1476</v>
      </c>
      <c r="AE8" s="549"/>
      <c r="AF8" s="549"/>
      <c r="AG8" s="549"/>
      <c r="AH8" s="549"/>
      <c r="AI8" s="549"/>
      <c r="AJ8" s="549"/>
      <c r="AK8" s="549"/>
      <c r="AL8" s="549"/>
      <c r="AM8" s="549"/>
      <c r="AN8" s="550"/>
      <c r="AO8" s="65"/>
      <c r="AP8" s="65"/>
      <c r="AQ8" s="548" t="s">
        <v>1477</v>
      </c>
      <c r="AR8" s="549"/>
      <c r="AS8" s="549"/>
      <c r="AT8" s="549"/>
      <c r="AU8" s="549"/>
      <c r="AV8" s="549"/>
      <c r="AW8" s="549"/>
      <c r="AX8" s="549"/>
      <c r="AY8" s="549"/>
      <c r="AZ8" s="549"/>
      <c r="BA8" s="550"/>
      <c r="BB8" s="65" t="s">
        <v>1258</v>
      </c>
      <c r="BC8" s="65" t="s">
        <v>1286</v>
      </c>
      <c r="BD8" s="66" t="s">
        <v>1478</v>
      </c>
      <c r="BE8" s="67" t="str">
        <f>'Geo &amp; CIC Deployment Plan'!AG241</f>
        <v>New GBS Associates Induction</v>
      </c>
      <c r="BF8" s="67" t="str">
        <f>'Geo &amp; CIC Deployment Plan'!AH241</f>
        <v>Virtual</v>
      </c>
      <c r="BG8" s="67" t="str">
        <f>'Geo &amp; CIC Deployment Plan'!Z241</f>
        <v>Complete</v>
      </c>
      <c r="BH8" s="67" t="str">
        <f>'Geo &amp; CIC Deployment Plan'!AB241</f>
        <v>Complete</v>
      </c>
      <c r="BI8" s="67" t="str">
        <f>'Geo &amp; CIC Deployment Plan'!AD241</f>
        <v>Complete</v>
      </c>
      <c r="BJ8" s="68">
        <v>0</v>
      </c>
      <c r="BK8" s="67" t="str">
        <f>'Geo &amp; CIC Deployment Plan'!AE241</f>
        <v>Planned</v>
      </c>
      <c r="BL8" s="67" t="str">
        <f>'Geo &amp; CIC Deployment Plan'!AF241</f>
        <v>Planned</v>
      </c>
      <c r="BM8" s="64">
        <f>'Geo &amp; CIC Deployment Plan'!V241</f>
        <v>11</v>
      </c>
      <c r="BN8" s="64">
        <v>86</v>
      </c>
      <c r="BO8" s="65" t="s">
        <v>1258</v>
      </c>
      <c r="BP8" s="65" t="s">
        <v>1286</v>
      </c>
      <c r="BQ8" s="66" t="s">
        <v>1479</v>
      </c>
      <c r="BR8" s="67" t="str">
        <f>'Geo &amp; CIC Deployment Plan'!AG244</f>
        <v>New GBS Associates Induction</v>
      </c>
      <c r="BS8" s="67" t="str">
        <f>'Geo &amp; CIC Deployment Plan'!AH244</f>
        <v>Virtual</v>
      </c>
      <c r="BT8" s="67" t="str">
        <f>'Geo &amp; CIC Deployment Plan'!Z244</f>
        <v>Complete</v>
      </c>
      <c r="BU8" s="67" t="str">
        <f>'Geo &amp; CIC Deployment Plan'!AB244</f>
        <v>Complete</v>
      </c>
      <c r="BV8" s="67" t="str">
        <f>'Geo &amp; CIC Deployment Plan'!AD244</f>
        <v>Complete</v>
      </c>
      <c r="BW8" s="67"/>
      <c r="BX8" s="67" t="str">
        <f>'Geo &amp; CIC Deployment Plan'!AE244</f>
        <v>Planned</v>
      </c>
      <c r="BY8" s="67" t="str">
        <f>'Geo &amp; CIC Deployment Plan'!AF244</f>
        <v>Planned</v>
      </c>
      <c r="BZ8" s="64">
        <f>'Geo &amp; CIC Deployment Plan'!V244</f>
        <v>17</v>
      </c>
      <c r="CA8" s="64"/>
      <c r="CB8" s="65" t="s">
        <v>1258</v>
      </c>
      <c r="CC8" s="65" t="s">
        <v>1286</v>
      </c>
      <c r="CD8" s="66" t="s">
        <v>1480</v>
      </c>
      <c r="CE8" s="67" t="str">
        <f>'Geo &amp; CIC Deployment Plan'!AG245</f>
        <v>New GBS Associates Induction</v>
      </c>
      <c r="CF8" s="67" t="str">
        <f>'Geo &amp; CIC Deployment Plan'!AH245</f>
        <v>Virtual</v>
      </c>
      <c r="CG8" s="67" t="str">
        <f>'Geo &amp; CIC Deployment Plan'!Z245</f>
        <v>Complete</v>
      </c>
      <c r="CH8" s="67" t="str">
        <f>'Geo &amp; CIC Deployment Plan'!AB245</f>
        <v>Complete</v>
      </c>
      <c r="CI8" s="67" t="str">
        <f>'Geo &amp; CIC Deployment Plan'!AD245</f>
        <v>Complete</v>
      </c>
      <c r="CJ8" s="67"/>
      <c r="CK8" s="67" t="str">
        <f>'Geo &amp; CIC Deployment Plan'!AE245</f>
        <v>Planned</v>
      </c>
      <c r="CL8" s="67" t="str">
        <f>'Geo &amp; CIC Deployment Plan'!AF245</f>
        <v>Planned</v>
      </c>
      <c r="CM8" s="64">
        <f>'Geo &amp; CIC Deployment Plan'!V245</f>
        <v>57</v>
      </c>
      <c r="CN8" s="64"/>
      <c r="CO8" s="65"/>
      <c r="CP8" s="65"/>
      <c r="CQ8" s="548" t="s">
        <v>1481</v>
      </c>
      <c r="CR8" s="549"/>
      <c r="CS8" s="549"/>
      <c r="CT8" s="549"/>
      <c r="CU8" s="549"/>
      <c r="CV8" s="549"/>
      <c r="CW8" s="549"/>
      <c r="CX8" s="549"/>
      <c r="CY8" s="549"/>
      <c r="CZ8" s="549"/>
      <c r="DA8" s="550"/>
      <c r="DB8" s="65"/>
      <c r="DC8" s="65"/>
      <c r="DD8" s="548" t="s">
        <v>1444</v>
      </c>
      <c r="DE8" s="549"/>
      <c r="DF8" s="549"/>
      <c r="DG8" s="549"/>
      <c r="DH8" s="549"/>
      <c r="DI8" s="549"/>
      <c r="DJ8" s="549"/>
      <c r="DK8" s="549"/>
      <c r="DL8" s="549"/>
      <c r="DM8" s="549"/>
      <c r="DN8" s="550"/>
      <c r="DO8" s="65"/>
      <c r="DP8" s="65"/>
      <c r="DQ8" s="548" t="s">
        <v>1482</v>
      </c>
      <c r="DR8" s="549"/>
      <c r="DS8" s="549"/>
      <c r="DT8" s="549"/>
      <c r="DU8" s="549"/>
      <c r="DV8" s="549"/>
      <c r="DW8" s="549"/>
      <c r="DX8" s="549"/>
      <c r="DY8" s="549"/>
      <c r="DZ8" s="549"/>
      <c r="EA8" s="550"/>
      <c r="EB8" s="65"/>
      <c r="EC8" s="65"/>
      <c r="ED8" s="548" t="s">
        <v>1444</v>
      </c>
      <c r="EE8" s="549"/>
      <c r="EF8" s="549"/>
      <c r="EG8" s="549"/>
      <c r="EH8" s="549"/>
      <c r="EI8" s="549"/>
      <c r="EJ8" s="549"/>
      <c r="EK8" s="549"/>
      <c r="EL8" s="549"/>
      <c r="EM8" s="549"/>
      <c r="EN8" s="550"/>
      <c r="EO8" s="65"/>
      <c r="EP8" s="65"/>
      <c r="EQ8" s="548" t="s">
        <v>1443</v>
      </c>
      <c r="ER8" s="549"/>
      <c r="ES8" s="549"/>
      <c r="ET8" s="549"/>
      <c r="EU8" s="549"/>
      <c r="EV8" s="549"/>
      <c r="EW8" s="549"/>
      <c r="EX8" s="549"/>
      <c r="EY8" s="549"/>
      <c r="EZ8" s="549"/>
      <c r="FA8" s="550"/>
      <c r="FC8" s="48"/>
      <c r="FD8" s="48"/>
      <c r="FE8" s="48"/>
      <c r="FF8" s="48"/>
      <c r="FG8" s="48"/>
      <c r="FH8" s="48"/>
      <c r="FI8" s="48"/>
      <c r="FJ8" s="48"/>
      <c r="FK8" s="48"/>
      <c r="FL8" s="48"/>
      <c r="FM8" s="48"/>
      <c r="FN8" s="48"/>
      <c r="FO8" s="48"/>
      <c r="FP8" s="48"/>
      <c r="FQ8" s="48"/>
      <c r="FR8" s="48"/>
      <c r="FS8" s="48"/>
      <c r="FT8" s="48"/>
      <c r="FU8" s="48"/>
      <c r="FV8" s="48"/>
      <c r="FX8" s="50"/>
      <c r="FY8" s="50"/>
      <c r="FZ8" s="50"/>
      <c r="GA8" s="50"/>
    </row>
    <row r="9" spans="2:185" ht="36">
      <c r="B9" s="27" t="s">
        <v>1258</v>
      </c>
      <c r="C9" s="26" t="s">
        <v>918</v>
      </c>
      <c r="D9" s="66" t="s">
        <v>1483</v>
      </c>
      <c r="E9" s="64" t="str">
        <f>'Geo &amp; CIC Deployment Plan'!AG364</f>
        <v>Legacy CIC</v>
      </c>
      <c r="F9" s="64" t="str">
        <f>'Geo &amp; CIC Deployment Plan'!AH364</f>
        <v>F2F</v>
      </c>
      <c r="G9" s="64" t="str">
        <f>'Geo &amp; CIC Deployment Plan'!Z364</f>
        <v>Complete</v>
      </c>
      <c r="H9" s="64" t="str">
        <f>'Geo &amp; CIC Deployment Plan'!AC364</f>
        <v>In Progress</v>
      </c>
      <c r="I9" s="64" t="str">
        <f>'Geo &amp; CIC Deployment Plan'!AD364</f>
        <v>Complete</v>
      </c>
      <c r="J9" s="64"/>
      <c r="K9" s="64" t="str">
        <f>'Geo &amp; CIC Deployment Plan'!AE364</f>
        <v>Planned</v>
      </c>
      <c r="L9" s="64" t="str">
        <f>'Geo &amp; CIC Deployment Plan'!AF364</f>
        <v>Planned</v>
      </c>
      <c r="M9" s="64">
        <f>'Geo &amp; CIC Deployment Plan'!V364</f>
        <v>20</v>
      </c>
      <c r="N9" s="64"/>
      <c r="O9" s="65"/>
      <c r="P9" s="65"/>
      <c r="Q9" s="548" t="s">
        <v>1484</v>
      </c>
      <c r="R9" s="549"/>
      <c r="S9" s="549"/>
      <c r="T9" s="549"/>
      <c r="U9" s="549"/>
      <c r="V9" s="549"/>
      <c r="W9" s="549"/>
      <c r="X9" s="549"/>
      <c r="Y9" s="549"/>
      <c r="Z9" s="549"/>
      <c r="AA9" s="550"/>
      <c r="AB9" s="65" t="s">
        <v>1452</v>
      </c>
      <c r="AC9" s="65" t="s">
        <v>1311</v>
      </c>
      <c r="AD9" s="66" t="s">
        <v>1485</v>
      </c>
      <c r="AE9" s="64" t="str">
        <f>'Geo &amp; CIC Deployment Plan'!AG463</f>
        <v>New GBS Associates Induction</v>
      </c>
      <c r="AF9" s="64" t="str">
        <f>'Geo &amp; CIC Deployment Plan'!AH463</f>
        <v>Virtual</v>
      </c>
      <c r="AG9" s="64">
        <f>'Geo &amp; CIC Deployment Plan'!Z463</f>
        <v>0</v>
      </c>
      <c r="AH9" s="64">
        <f>'Geo &amp; CIC Deployment Plan'!AB463</f>
        <v>0</v>
      </c>
      <c r="AI9" s="64">
        <f>'Geo &amp; CIC Deployment Plan'!AD463</f>
        <v>0</v>
      </c>
      <c r="AJ9" s="71">
        <v>0.26700000000000002</v>
      </c>
      <c r="AK9" s="64">
        <f>'Geo &amp; CIC Deployment Plan'!AE463</f>
        <v>0</v>
      </c>
      <c r="AL9" s="64">
        <f>'Geo &amp; CIC Deployment Plan'!AF463</f>
        <v>0</v>
      </c>
      <c r="AM9" s="64">
        <f>'Geo &amp; CIC Deployment Plan'!U463</f>
        <v>2</v>
      </c>
      <c r="AN9" s="64">
        <f>'Geo &amp; CIC Deployment Plan'!AK463</f>
        <v>0</v>
      </c>
      <c r="AO9" s="65" t="s">
        <v>1452</v>
      </c>
      <c r="AP9" s="65" t="s">
        <v>1288</v>
      </c>
      <c r="AQ9" s="66" t="s">
        <v>1486</v>
      </c>
      <c r="AR9" s="64" t="str">
        <f>'Geo &amp; CIC Deployment Plan'!AG501</f>
        <v>New GBS Associates Induction</v>
      </c>
      <c r="AS9" s="64" t="str">
        <f>'Geo &amp; CIC Deployment Plan'!AH501</f>
        <v>Virtual</v>
      </c>
      <c r="AT9" s="64" t="str">
        <f>'Geo &amp; CIC Deployment Plan'!Z501</f>
        <v>Complete</v>
      </c>
      <c r="AU9" s="64" t="str">
        <f>'Geo &amp; CIC Deployment Plan'!AC501</f>
        <v>Complete</v>
      </c>
      <c r="AV9" s="64" t="str">
        <f>'Geo &amp; CIC Deployment Plan'!AD501</f>
        <v>Complete</v>
      </c>
      <c r="AW9" s="64"/>
      <c r="AX9" s="64" t="str">
        <f>'Geo &amp; CIC Deployment Plan'!AE501</f>
        <v>Planned</v>
      </c>
      <c r="AY9" s="64" t="str">
        <f>'Geo &amp; CIC Deployment Plan'!AF501</f>
        <v>Planned</v>
      </c>
      <c r="AZ9" s="64">
        <f>'Geo &amp; CIC Deployment Plan'!U501</f>
        <v>14</v>
      </c>
      <c r="BA9" s="64">
        <v>44</v>
      </c>
      <c r="BB9" s="65"/>
      <c r="BC9" s="65"/>
      <c r="BD9" s="548" t="s">
        <v>1487</v>
      </c>
      <c r="BE9" s="549"/>
      <c r="BF9" s="549"/>
      <c r="BG9" s="549"/>
      <c r="BH9" s="549"/>
      <c r="BI9" s="549"/>
      <c r="BJ9" s="549"/>
      <c r="BK9" s="549"/>
      <c r="BL9" s="549"/>
      <c r="BM9" s="549"/>
      <c r="BN9" s="550"/>
      <c r="BO9" s="65"/>
      <c r="BP9" s="65"/>
      <c r="BQ9" s="65"/>
      <c r="BR9" s="65"/>
      <c r="BS9" s="65"/>
      <c r="BT9" s="65"/>
      <c r="BU9" s="65"/>
      <c r="BV9" s="65"/>
      <c r="BW9" s="65"/>
      <c r="BX9" s="65"/>
      <c r="BY9" s="65"/>
      <c r="BZ9" s="65"/>
      <c r="CA9" s="65"/>
      <c r="CB9" s="65"/>
      <c r="CC9" s="65"/>
      <c r="CD9" s="548" t="s">
        <v>1488</v>
      </c>
      <c r="CE9" s="549"/>
      <c r="CF9" s="549"/>
      <c r="CG9" s="549"/>
      <c r="CH9" s="549"/>
      <c r="CI9" s="549"/>
      <c r="CJ9" s="549"/>
      <c r="CK9" s="549"/>
      <c r="CL9" s="549"/>
      <c r="CM9" s="549"/>
      <c r="CN9" s="550"/>
      <c r="CO9" s="65" t="s">
        <v>1258</v>
      </c>
      <c r="CP9" s="65" t="s">
        <v>1489</v>
      </c>
      <c r="CQ9" s="66" t="s">
        <v>1490</v>
      </c>
      <c r="CR9" s="67" t="str">
        <f>'Geo &amp; CIC Deployment Plan'!AG221</f>
        <v>New GBS Associates Induction</v>
      </c>
      <c r="CS9" s="67" t="str">
        <f>'Geo &amp; CIC Deployment Plan'!AH221</f>
        <v>Virtual</v>
      </c>
      <c r="CT9" s="67" t="str">
        <f>'Geo &amp; CIC Deployment Plan'!Z221</f>
        <v>Complete</v>
      </c>
      <c r="CU9" s="67" t="str">
        <f>'Geo &amp; CIC Deployment Plan'!AB221</f>
        <v>Complete</v>
      </c>
      <c r="CV9" s="67" t="str">
        <f>'Geo &amp; CIC Deployment Plan'!AD221</f>
        <v>Complete</v>
      </c>
      <c r="CW9" s="67"/>
      <c r="CX9" s="67" t="str">
        <f>'Geo &amp; CIC Deployment Plan'!AE221</f>
        <v>Planned</v>
      </c>
      <c r="CY9" s="67" t="str">
        <f>'Geo &amp; CIC Deployment Plan'!AF221</f>
        <v>Planned</v>
      </c>
      <c r="CZ9" s="64">
        <f>'Geo &amp; CIC Deployment Plan'!V221</f>
        <v>17</v>
      </c>
      <c r="DA9" s="64"/>
      <c r="DB9" s="65" t="s">
        <v>1258</v>
      </c>
      <c r="DC9" s="65" t="s">
        <v>1135</v>
      </c>
      <c r="DD9" s="66" t="s">
        <v>1491</v>
      </c>
      <c r="DE9" s="67" t="e">
        <f>'Geo &amp; CIC Deployment Plan'!#REF!</f>
        <v>#REF!</v>
      </c>
      <c r="DF9" s="67" t="e">
        <f>'Geo &amp; CIC Deployment Plan'!#REF!</f>
        <v>#REF!</v>
      </c>
      <c r="DG9" s="67" t="e">
        <f>'Geo &amp; CIC Deployment Plan'!#REF!</f>
        <v>#REF!</v>
      </c>
      <c r="DH9" s="67" t="e">
        <f>'Geo &amp; CIC Deployment Plan'!#REF!</f>
        <v>#REF!</v>
      </c>
      <c r="DI9" s="67" t="e">
        <f>'Geo &amp; CIC Deployment Plan'!#REF!</f>
        <v>#REF!</v>
      </c>
      <c r="DJ9" s="67"/>
      <c r="DK9" s="67" t="e">
        <f>'Geo &amp; CIC Deployment Plan'!#REF!</f>
        <v>#REF!</v>
      </c>
      <c r="DL9" s="67" t="e">
        <f>'Geo &amp; CIC Deployment Plan'!#REF!</f>
        <v>#REF!</v>
      </c>
      <c r="DM9" s="64" t="e">
        <f>'Geo &amp; CIC Deployment Plan'!#REF!</f>
        <v>#REF!</v>
      </c>
      <c r="DN9" s="64"/>
      <c r="DO9" s="65" t="s">
        <v>1452</v>
      </c>
      <c r="DP9" s="65" t="s">
        <v>1288</v>
      </c>
      <c r="DQ9" s="66" t="s">
        <v>1492</v>
      </c>
      <c r="DR9" s="67" t="str">
        <f>'Geo &amp; CIC Deployment Plan'!AG$506</f>
        <v>New GBS Associates Induction</v>
      </c>
      <c r="DS9" s="67" t="str">
        <f>'Geo &amp; CIC Deployment Plan'!AH$506</f>
        <v>Virtual</v>
      </c>
      <c r="DT9" s="67" t="str">
        <f>'Geo &amp; CIC Deployment Plan'!Z$506</f>
        <v>Complete</v>
      </c>
      <c r="DU9" s="67" t="str">
        <f>'Geo &amp; CIC Deployment Plan'!AB$506</f>
        <v>Complete</v>
      </c>
      <c r="DV9" s="67" t="str">
        <f>'Geo &amp; CIC Deployment Plan'!AD$506</f>
        <v>Planned</v>
      </c>
      <c r="DW9" s="67"/>
      <c r="DX9" s="67" t="str">
        <f>'Geo &amp; CIC Deployment Plan'!AE$506</f>
        <v>Planned</v>
      </c>
      <c r="DY9" s="67" t="str">
        <f>'Geo &amp; CIC Deployment Plan'!AF$506</f>
        <v>Planned</v>
      </c>
      <c r="DZ9" s="64">
        <f>'Geo &amp; CIC Deployment Plan'!U506</f>
        <v>20</v>
      </c>
      <c r="EA9" s="64"/>
      <c r="EB9" s="65" t="s">
        <v>1258</v>
      </c>
      <c r="EC9" s="65" t="s">
        <v>1135</v>
      </c>
      <c r="ED9" s="66" t="s">
        <v>1493</v>
      </c>
      <c r="EE9" s="67" t="e">
        <f>'Geo &amp; CIC Deployment Plan'!#REF!</f>
        <v>#REF!</v>
      </c>
      <c r="EF9" s="67" t="e">
        <f>'Geo &amp; CIC Deployment Plan'!#REF!</f>
        <v>#REF!</v>
      </c>
      <c r="EG9" s="67" t="e">
        <f>'Geo &amp; CIC Deployment Plan'!#REF!</f>
        <v>#REF!</v>
      </c>
      <c r="EH9" s="67" t="e">
        <f>'Geo &amp; CIC Deployment Plan'!#REF!</f>
        <v>#REF!</v>
      </c>
      <c r="EI9" s="67" t="e">
        <f>'Geo &amp; CIC Deployment Plan'!#REF!</f>
        <v>#REF!</v>
      </c>
      <c r="EJ9" s="67"/>
      <c r="EK9" s="67" t="e">
        <f>'Geo &amp; CIC Deployment Plan'!#REF!</f>
        <v>#REF!</v>
      </c>
      <c r="EL9" s="67" t="e">
        <f>'Geo &amp; CIC Deployment Plan'!#REF!</f>
        <v>#REF!</v>
      </c>
      <c r="EM9" s="64" t="e">
        <f>'Geo &amp; CIC Deployment Plan'!#REF!</f>
        <v>#REF!</v>
      </c>
      <c r="EN9" s="64"/>
      <c r="EO9" s="65" t="s">
        <v>1258</v>
      </c>
      <c r="EP9" s="65" t="s">
        <v>1286</v>
      </c>
      <c r="EQ9" s="66" t="s">
        <v>1494</v>
      </c>
      <c r="ER9" s="67" t="e">
        <f>'Geo &amp; CIC Deployment Plan'!#REF!</f>
        <v>#REF!</v>
      </c>
      <c r="ES9" s="67" t="e">
        <f>'Geo &amp; CIC Deployment Plan'!#REF!</f>
        <v>#REF!</v>
      </c>
      <c r="ET9" s="67" t="e">
        <f>'Geo &amp; CIC Deployment Plan'!#REF!</f>
        <v>#REF!</v>
      </c>
      <c r="EU9" s="67" t="e">
        <f>'Geo &amp; CIC Deployment Plan'!#REF!</f>
        <v>#REF!</v>
      </c>
      <c r="EV9" s="67" t="e">
        <f>'Geo &amp; CIC Deployment Plan'!#REF!</f>
        <v>#REF!</v>
      </c>
      <c r="EW9" s="67"/>
      <c r="EX9" s="67" t="e">
        <f>'Geo &amp; CIC Deployment Plan'!#REF!</f>
        <v>#REF!</v>
      </c>
      <c r="EY9" s="67" t="e">
        <f>'Geo &amp; CIC Deployment Plan'!#REF!</f>
        <v>#REF!</v>
      </c>
      <c r="EZ9" s="64" t="e">
        <f>'Geo &amp; CIC Deployment Plan'!#REF!</f>
        <v>#REF!</v>
      </c>
      <c r="FA9" s="64"/>
      <c r="FC9" s="48"/>
      <c r="FD9" s="48"/>
      <c r="FE9" s="48"/>
      <c r="FF9" s="48"/>
      <c r="FG9" s="48"/>
      <c r="FH9" s="48"/>
      <c r="FI9" s="48"/>
      <c r="FJ9" s="48"/>
      <c r="FK9" s="48"/>
      <c r="FL9" s="48"/>
      <c r="FM9" s="48"/>
      <c r="FN9" s="48"/>
      <c r="FO9" s="48"/>
      <c r="FP9" s="48"/>
      <c r="FQ9" s="48"/>
      <c r="FR9" s="48"/>
      <c r="FS9" s="48"/>
      <c r="FT9" s="48"/>
      <c r="FU9" s="48"/>
      <c r="FV9" s="48"/>
      <c r="FX9" s="50"/>
      <c r="FY9" s="50"/>
      <c r="FZ9" s="50"/>
      <c r="GA9" s="50"/>
    </row>
    <row r="10" spans="2:185" ht="36">
      <c r="B10" s="27" t="s">
        <v>1258</v>
      </c>
      <c r="C10" s="26" t="s">
        <v>918</v>
      </c>
      <c r="D10" s="66" t="s">
        <v>1495</v>
      </c>
      <c r="E10" s="64" t="str">
        <f>'Geo &amp; CIC Deployment Plan'!AG365</f>
        <v>Legacy CIC</v>
      </c>
      <c r="F10" s="64" t="str">
        <f>'Geo &amp; CIC Deployment Plan'!AH365</f>
        <v>F2F</v>
      </c>
      <c r="G10" s="64" t="str">
        <f>'Geo &amp; CIC Deployment Plan'!Z365</f>
        <v>Complete</v>
      </c>
      <c r="H10" s="64" t="str">
        <f>'Geo &amp; CIC Deployment Plan'!AC365</f>
        <v>In Progress</v>
      </c>
      <c r="I10" s="64" t="str">
        <f>'Geo &amp; CIC Deployment Plan'!AD365</f>
        <v>Complete</v>
      </c>
      <c r="J10" s="64"/>
      <c r="K10" s="64" t="str">
        <f>'Geo &amp; CIC Deployment Plan'!AE365</f>
        <v>Planned</v>
      </c>
      <c r="L10" s="64" t="str">
        <f>'Geo &amp; CIC Deployment Plan'!AF365</f>
        <v>Planned</v>
      </c>
      <c r="M10" s="64">
        <f>'Geo &amp; CIC Deployment Plan'!V365</f>
        <v>6</v>
      </c>
      <c r="N10" s="64"/>
      <c r="O10" s="65" t="s">
        <v>1452</v>
      </c>
      <c r="P10" s="65" t="s">
        <v>1311</v>
      </c>
      <c r="Q10" s="66" t="s">
        <v>1496</v>
      </c>
      <c r="R10" s="64" t="str">
        <f>'Geo &amp; CIC Deployment Plan'!AG462</f>
        <v>New GBS Associates Induction</v>
      </c>
      <c r="S10" s="64" t="str">
        <f>'Geo &amp; CIC Deployment Plan'!AH462</f>
        <v>Virtual</v>
      </c>
      <c r="T10" s="64" t="str">
        <f>'Geo &amp; CIC Deployment Plan'!Z462</f>
        <v>In Progress</v>
      </c>
      <c r="U10" s="64">
        <f>'Geo &amp; CIC Deployment Plan'!AB462</f>
        <v>0</v>
      </c>
      <c r="V10" s="64">
        <f>'Geo &amp; CIC Deployment Plan'!AD462</f>
        <v>0</v>
      </c>
      <c r="W10" s="71">
        <v>0.16700000000000001</v>
      </c>
      <c r="X10" s="64">
        <f>'Geo &amp; CIC Deployment Plan'!AE462</f>
        <v>0</v>
      </c>
      <c r="Y10" s="64">
        <f>'Geo &amp; CIC Deployment Plan'!AF462</f>
        <v>0</v>
      </c>
      <c r="Z10" s="64">
        <f>'Geo &amp; CIC Deployment Plan'!U462</f>
        <v>47</v>
      </c>
      <c r="AA10" s="64">
        <v>21</v>
      </c>
      <c r="AB10" s="65"/>
      <c r="AC10" s="65"/>
      <c r="AD10" s="548" t="s">
        <v>1440</v>
      </c>
      <c r="AE10" s="549"/>
      <c r="AF10" s="549"/>
      <c r="AG10" s="549"/>
      <c r="AH10" s="549"/>
      <c r="AI10" s="549"/>
      <c r="AJ10" s="549"/>
      <c r="AK10" s="549"/>
      <c r="AL10" s="549"/>
      <c r="AM10" s="549"/>
      <c r="AN10" s="550"/>
      <c r="AO10" s="65" t="s">
        <v>1452</v>
      </c>
      <c r="AP10" s="65" t="s">
        <v>1288</v>
      </c>
      <c r="AQ10" s="66" t="s">
        <v>1486</v>
      </c>
      <c r="AR10" s="64" t="str">
        <f>'Geo &amp; CIC Deployment Plan'!AG502</f>
        <v>New GBS Associates Induction</v>
      </c>
      <c r="AS10" s="64" t="str">
        <f>'Geo &amp; CIC Deployment Plan'!AH502</f>
        <v>Virtual</v>
      </c>
      <c r="AT10" s="64" t="str">
        <f>'Geo &amp; CIC Deployment Plan'!Z502</f>
        <v>Complete</v>
      </c>
      <c r="AU10" s="64" t="str">
        <f>'Geo &amp; CIC Deployment Plan'!AC502</f>
        <v>Complete</v>
      </c>
      <c r="AV10" s="64" t="str">
        <f>'Geo &amp; CIC Deployment Plan'!AD502</f>
        <v>Complete</v>
      </c>
      <c r="AW10" s="64"/>
      <c r="AX10" s="64" t="str">
        <f>'Geo &amp; CIC Deployment Plan'!AE502</f>
        <v>Planned</v>
      </c>
      <c r="AY10" s="64" t="str">
        <f>'Geo &amp; CIC Deployment Plan'!AF502</f>
        <v>Planned</v>
      </c>
      <c r="AZ10" s="64">
        <f>'Geo &amp; CIC Deployment Plan'!U502</f>
        <v>9</v>
      </c>
      <c r="BA10" s="64">
        <v>78</v>
      </c>
      <c r="BB10" s="65" t="s">
        <v>1258</v>
      </c>
      <c r="BC10" s="65" t="s">
        <v>230</v>
      </c>
      <c r="BD10" s="66" t="s">
        <v>1497</v>
      </c>
      <c r="BE10" s="67" t="str">
        <f>'Geo &amp; CIC Deployment Plan'!AG81</f>
        <v>New GBS Associates Induction</v>
      </c>
      <c r="BF10" s="67" t="str">
        <f>'Geo &amp; CIC Deployment Plan'!AH81</f>
        <v>Virtual</v>
      </c>
      <c r="BG10" s="67" t="str">
        <f>'Geo &amp; CIC Deployment Plan'!Z81</f>
        <v>Complete</v>
      </c>
      <c r="BH10" s="67" t="str">
        <f>'Geo &amp; CIC Deployment Plan'!AC81</f>
        <v>Complete</v>
      </c>
      <c r="BI10" s="67" t="str">
        <f>'Geo &amp; CIC Deployment Plan'!AD81</f>
        <v>Complete</v>
      </c>
      <c r="BJ10" s="67"/>
      <c r="BK10" s="67" t="str">
        <f>'Geo &amp; CIC Deployment Plan'!AE81</f>
        <v>Planned</v>
      </c>
      <c r="BL10" s="67" t="str">
        <f>'Geo &amp; CIC Deployment Plan'!AF81</f>
        <v>Planned</v>
      </c>
      <c r="BM10" s="64">
        <f>'Geo &amp; CIC Deployment Plan'!V81</f>
        <v>41</v>
      </c>
      <c r="BN10" s="64"/>
      <c r="BO10" s="65"/>
      <c r="BP10" s="65"/>
      <c r="BQ10" s="65"/>
      <c r="BR10" s="65"/>
      <c r="BS10" s="65"/>
      <c r="BT10" s="65"/>
      <c r="BU10" s="65"/>
      <c r="BV10" s="65"/>
      <c r="BW10" s="65"/>
      <c r="BX10" s="65"/>
      <c r="BY10" s="65"/>
      <c r="BZ10" s="65"/>
      <c r="CA10" s="65"/>
      <c r="CB10" s="65" t="s">
        <v>1452</v>
      </c>
      <c r="CC10" s="65" t="s">
        <v>1488</v>
      </c>
      <c r="CD10" s="66" t="s">
        <v>1498</v>
      </c>
      <c r="CE10" s="67" t="str">
        <f>'Geo &amp; CIC Deployment Plan'!AG96</f>
        <v>New GBS Associates Induction</v>
      </c>
      <c r="CF10" s="67" t="str">
        <f>'Geo &amp; CIC Deployment Plan'!AH96</f>
        <v>Virtual</v>
      </c>
      <c r="CG10" s="67" t="str">
        <f>'Geo &amp; CIC Deployment Plan'!Z96</f>
        <v>Complete</v>
      </c>
      <c r="CH10" s="67" t="str">
        <f>'Geo &amp; CIC Deployment Plan'!AB96</f>
        <v>Complete</v>
      </c>
      <c r="CI10" s="67" t="str">
        <f>'Geo &amp; CIC Deployment Plan'!AD96</f>
        <v>Complete</v>
      </c>
      <c r="CJ10" s="67"/>
      <c r="CK10" s="67" t="str">
        <f>'Geo &amp; CIC Deployment Plan'!AE96</f>
        <v>Planned</v>
      </c>
      <c r="CL10" s="67" t="str">
        <f>'Geo &amp; CIC Deployment Plan'!AF96</f>
        <v>Planned</v>
      </c>
      <c r="CM10" s="64">
        <f>'Geo &amp; CIC Deployment Plan'!U96</f>
        <v>2</v>
      </c>
      <c r="CN10" s="64">
        <f>'Geo &amp; CIC Deployment Plan'!AK96</f>
        <v>0</v>
      </c>
      <c r="CO10" s="65"/>
      <c r="CP10" s="65"/>
      <c r="CQ10" s="548" t="s">
        <v>1440</v>
      </c>
      <c r="CR10" s="549"/>
      <c r="CS10" s="549"/>
      <c r="CT10" s="549"/>
      <c r="CU10" s="549"/>
      <c r="CV10" s="549"/>
      <c r="CW10" s="549"/>
      <c r="CX10" s="549"/>
      <c r="CY10" s="549"/>
      <c r="CZ10" s="549"/>
      <c r="DA10" s="550"/>
      <c r="DB10" s="65" t="s">
        <v>1258</v>
      </c>
      <c r="DC10" s="65" t="s">
        <v>1135</v>
      </c>
      <c r="DD10" s="66" t="s">
        <v>1499</v>
      </c>
      <c r="DE10" s="67" t="e">
        <f>'Geo &amp; CIC Deployment Plan'!#REF!</f>
        <v>#REF!</v>
      </c>
      <c r="DF10" s="67" t="e">
        <f>'Geo &amp; CIC Deployment Plan'!#REF!</f>
        <v>#REF!</v>
      </c>
      <c r="DG10" s="67" t="e">
        <f>'Geo &amp; CIC Deployment Plan'!#REF!</f>
        <v>#REF!</v>
      </c>
      <c r="DH10" s="67" t="e">
        <f>'Geo &amp; CIC Deployment Plan'!#REF!</f>
        <v>#REF!</v>
      </c>
      <c r="DI10" s="67" t="e">
        <f>'Geo &amp; CIC Deployment Plan'!#REF!</f>
        <v>#REF!</v>
      </c>
      <c r="DJ10" s="67"/>
      <c r="DK10" s="67" t="e">
        <f>'Geo &amp; CIC Deployment Plan'!#REF!</f>
        <v>#REF!</v>
      </c>
      <c r="DL10" s="67" t="e">
        <f>'Geo &amp; CIC Deployment Plan'!#REF!</f>
        <v>#REF!</v>
      </c>
      <c r="DM10" s="64" t="e">
        <f>'Geo &amp; CIC Deployment Plan'!#REF!</f>
        <v>#REF!</v>
      </c>
      <c r="DN10" s="64"/>
      <c r="DO10" s="65"/>
      <c r="DP10" s="65"/>
      <c r="DQ10" s="548" t="s">
        <v>1439</v>
      </c>
      <c r="DR10" s="549"/>
      <c r="DS10" s="549"/>
      <c r="DT10" s="549"/>
      <c r="DU10" s="549"/>
      <c r="DV10" s="549"/>
      <c r="DW10" s="549"/>
      <c r="DX10" s="549"/>
      <c r="DY10" s="549"/>
      <c r="DZ10" s="549"/>
      <c r="EA10" s="550"/>
      <c r="EB10" s="65"/>
      <c r="EC10" s="65"/>
      <c r="ED10" s="548" t="s">
        <v>1440</v>
      </c>
      <c r="EE10" s="549"/>
      <c r="EF10" s="549"/>
      <c r="EG10" s="549"/>
      <c r="EH10" s="549"/>
      <c r="EI10" s="549"/>
      <c r="EJ10" s="549"/>
      <c r="EK10" s="549"/>
      <c r="EL10" s="549"/>
      <c r="EM10" s="549"/>
      <c r="EN10" s="550"/>
      <c r="EO10" s="65" t="s">
        <v>1258</v>
      </c>
      <c r="EP10" s="65" t="s">
        <v>1286</v>
      </c>
      <c r="EQ10" s="66" t="s">
        <v>1500</v>
      </c>
      <c r="ER10" s="67" t="str">
        <f>'Geo &amp; CIC Deployment Plan'!AG$259</f>
        <v>New GBS Associates Induction</v>
      </c>
      <c r="ES10" s="67" t="str">
        <f>'Geo &amp; CIC Deployment Plan'!AH$259</f>
        <v>Virtual</v>
      </c>
      <c r="ET10" s="67" t="str">
        <f>'Geo &amp; CIC Deployment Plan'!Z$259</f>
        <v>Complete</v>
      </c>
      <c r="EU10" s="67" t="str">
        <f>'Geo &amp; CIC Deployment Plan'!AB$259</f>
        <v>In Progress</v>
      </c>
      <c r="EV10" s="67" t="str">
        <f>'Geo &amp; CIC Deployment Plan'!AD$259</f>
        <v>Tentative</v>
      </c>
      <c r="EW10" s="67"/>
      <c r="EX10" s="67" t="str">
        <f>'Geo &amp; CIC Deployment Plan'!AE$259</f>
        <v>Tentative</v>
      </c>
      <c r="EY10" s="67" t="str">
        <f>'Geo &amp; CIC Deployment Plan'!AF$259</f>
        <v>Tentative</v>
      </c>
      <c r="EZ10" s="64">
        <f>'Geo &amp; CIC Deployment Plan'!V259</f>
        <v>238</v>
      </c>
      <c r="FA10" s="64"/>
      <c r="FC10" s="48"/>
      <c r="FD10" s="48"/>
      <c r="FE10" s="48"/>
      <c r="FF10" s="48"/>
      <c r="FG10" s="48"/>
      <c r="FH10" s="48"/>
      <c r="FI10" s="48"/>
      <c r="FJ10" s="48"/>
      <c r="FK10" s="48"/>
      <c r="FL10" s="48"/>
      <c r="FM10" s="48"/>
      <c r="FN10" s="48"/>
      <c r="FO10" s="48"/>
      <c r="FP10" s="48"/>
      <c r="FQ10" s="48"/>
      <c r="FR10" s="48"/>
      <c r="FS10" s="48"/>
      <c r="FT10" s="48"/>
      <c r="FU10" s="48"/>
      <c r="FV10" s="48"/>
      <c r="FX10" s="50"/>
      <c r="FY10" s="50"/>
      <c r="FZ10" s="50"/>
      <c r="GA10" s="50"/>
    </row>
    <row r="11" spans="2:185" ht="48">
      <c r="D11" s="548" t="s">
        <v>1501</v>
      </c>
      <c r="E11" s="549"/>
      <c r="F11" s="549"/>
      <c r="G11" s="549"/>
      <c r="H11" s="549"/>
      <c r="I11" s="549"/>
      <c r="J11" s="549"/>
      <c r="K11" s="549"/>
      <c r="L11" s="549"/>
      <c r="M11" s="549"/>
      <c r="N11" s="550"/>
      <c r="O11" s="65"/>
      <c r="P11" s="65"/>
      <c r="Q11" s="548" t="s">
        <v>1442</v>
      </c>
      <c r="R11" s="549"/>
      <c r="S11" s="549"/>
      <c r="T11" s="549"/>
      <c r="U11" s="549"/>
      <c r="V11" s="549"/>
      <c r="W11" s="549"/>
      <c r="X11" s="549"/>
      <c r="Y11" s="549"/>
      <c r="Z11" s="549"/>
      <c r="AA11" s="550"/>
      <c r="AB11" s="65" t="s">
        <v>1258</v>
      </c>
      <c r="AC11" s="65" t="s">
        <v>1282</v>
      </c>
      <c r="AD11" s="66" t="s">
        <v>1502</v>
      </c>
      <c r="AE11" s="64" t="str">
        <f>'Geo &amp; CIC Deployment Plan'!AG9</f>
        <v>Legacy CIC</v>
      </c>
      <c r="AF11" s="64" t="str">
        <f>'Geo &amp; CIC Deployment Plan'!AH9</f>
        <v>F2F</v>
      </c>
      <c r="AG11" s="64" t="str">
        <f>'Geo &amp; CIC Deployment Plan'!Z9</f>
        <v>Complete</v>
      </c>
      <c r="AH11" s="64" t="str">
        <f>'Geo &amp; CIC Deployment Plan'!AB9</f>
        <v>Complete</v>
      </c>
      <c r="AI11" s="64" t="str">
        <f>'Geo &amp; CIC Deployment Plan'!AD9</f>
        <v>Complete</v>
      </c>
      <c r="AJ11" s="64"/>
      <c r="AK11" s="64" t="str">
        <f>'Geo &amp; CIC Deployment Plan'!AE9</f>
        <v>Planned</v>
      </c>
      <c r="AL11" s="64" t="str">
        <f>'Geo &amp; CIC Deployment Plan'!AF9</f>
        <v>Planned</v>
      </c>
      <c r="AM11" s="64">
        <f>'Geo &amp; CIC Deployment Plan'!V9</f>
        <v>79</v>
      </c>
      <c r="AN11" s="64"/>
      <c r="AO11" s="65" t="s">
        <v>1452</v>
      </c>
      <c r="AP11" s="65" t="s">
        <v>1288</v>
      </c>
      <c r="AQ11" s="66" t="s">
        <v>1503</v>
      </c>
      <c r="AR11" s="64" t="str">
        <f>'Geo &amp; CIC Deployment Plan'!AG503</f>
        <v>New GBS Associates Induction</v>
      </c>
      <c r="AS11" s="64" t="str">
        <f>'Geo &amp; CIC Deployment Plan'!AH503</f>
        <v>Virtual</v>
      </c>
      <c r="AT11" s="64" t="str">
        <f>'Geo &amp; CIC Deployment Plan'!Z503</f>
        <v>Complete</v>
      </c>
      <c r="AU11" s="64" t="str">
        <f>'Geo &amp; CIC Deployment Plan'!AC503</f>
        <v>Complete</v>
      </c>
      <c r="AV11" s="64" t="str">
        <f>'Geo &amp; CIC Deployment Plan'!AD503</f>
        <v>Complete</v>
      </c>
      <c r="AW11" s="64"/>
      <c r="AX11" s="64" t="str">
        <f>'Geo &amp; CIC Deployment Plan'!AE503</f>
        <v>Planned</v>
      </c>
      <c r="AY11" s="64" t="str">
        <f>'Geo &amp; CIC Deployment Plan'!AF503</f>
        <v>Planned</v>
      </c>
      <c r="AZ11" s="64">
        <f>'Geo &amp; CIC Deployment Plan'!U503</f>
        <v>43</v>
      </c>
      <c r="BA11" s="64">
        <v>57</v>
      </c>
      <c r="BB11" s="65"/>
      <c r="BC11" s="65"/>
      <c r="BD11" s="548" t="s">
        <v>1443</v>
      </c>
      <c r="BE11" s="549"/>
      <c r="BF11" s="549"/>
      <c r="BG11" s="549"/>
      <c r="BH11" s="549"/>
      <c r="BI11" s="549"/>
      <c r="BJ11" s="549"/>
      <c r="BK11" s="549"/>
      <c r="BL11" s="549"/>
      <c r="BM11" s="549"/>
      <c r="BN11" s="550"/>
      <c r="BO11" s="65"/>
      <c r="BP11" s="65"/>
      <c r="BQ11" s="65"/>
      <c r="BR11" s="65"/>
      <c r="BS11" s="65"/>
      <c r="BT11" s="65"/>
      <c r="BU11" s="65"/>
      <c r="BV11" s="65"/>
      <c r="BW11" s="65"/>
      <c r="BX11" s="65"/>
      <c r="BY11" s="65"/>
      <c r="BZ11" s="65"/>
      <c r="CA11" s="65"/>
      <c r="CB11" s="65"/>
      <c r="CC11" s="65"/>
      <c r="CD11" s="548" t="s">
        <v>1443</v>
      </c>
      <c r="CE11" s="549"/>
      <c r="CF11" s="549"/>
      <c r="CG11" s="549"/>
      <c r="CH11" s="549"/>
      <c r="CI11" s="549"/>
      <c r="CJ11" s="549"/>
      <c r="CK11" s="549"/>
      <c r="CL11" s="549"/>
      <c r="CM11" s="549"/>
      <c r="CN11" s="550"/>
      <c r="CO11" s="65" t="s">
        <v>1258</v>
      </c>
      <c r="CP11" s="65" t="s">
        <v>1282</v>
      </c>
      <c r="CQ11" s="66" t="s">
        <v>1504</v>
      </c>
      <c r="CR11" s="67" t="str">
        <f>'Geo &amp; CIC Deployment Plan'!AG12</f>
        <v>New GBS Associates Induction</v>
      </c>
      <c r="CS11" s="67" t="str">
        <f>'Geo &amp; CIC Deployment Plan'!AH12</f>
        <v>Virtual</v>
      </c>
      <c r="CT11" s="67" t="str">
        <f>'Geo &amp; CIC Deployment Plan'!Z12</f>
        <v>Complete</v>
      </c>
      <c r="CU11" s="67" t="str">
        <f>'Geo &amp; CIC Deployment Plan'!AB12</f>
        <v>Complete</v>
      </c>
      <c r="CV11" s="67" t="str">
        <f>'Geo &amp; CIC Deployment Plan'!AD12</f>
        <v>In Progress</v>
      </c>
      <c r="CW11" s="67"/>
      <c r="CX11" s="67" t="str">
        <f>'Geo &amp; CIC Deployment Plan'!AE12</f>
        <v>Planned</v>
      </c>
      <c r="CY11" s="67" t="str">
        <f>'Geo &amp; CIC Deployment Plan'!AF12</f>
        <v>Planned</v>
      </c>
      <c r="CZ11" s="64">
        <f>'Geo &amp; CIC Deployment Plan'!V12</f>
        <v>28</v>
      </c>
      <c r="DA11" s="64"/>
      <c r="DB11" s="65" t="s">
        <v>1258</v>
      </c>
      <c r="DC11" s="65" t="s">
        <v>1135</v>
      </c>
      <c r="DD11" s="66" t="s">
        <v>1505</v>
      </c>
      <c r="DE11" s="67" t="str">
        <f>'Geo &amp; CIC Deployment Plan'!AG486</f>
        <v>New GBS Associates Induction</v>
      </c>
      <c r="DF11" s="67" t="str">
        <f>'Geo &amp; CIC Deployment Plan'!AH486</f>
        <v>Virtual</v>
      </c>
      <c r="DG11" s="67" t="str">
        <f>'Geo &amp; CIC Deployment Plan'!Z486</f>
        <v>Complete</v>
      </c>
      <c r="DH11" s="67" t="str">
        <f>'Geo &amp; CIC Deployment Plan'!AB486</f>
        <v>In Progress</v>
      </c>
      <c r="DI11" s="67" t="str">
        <f>'Geo &amp; CIC Deployment Plan'!AD486</f>
        <v>In Progress</v>
      </c>
      <c r="DJ11" s="67"/>
      <c r="DK11" s="67" t="str">
        <f>'Geo &amp; CIC Deployment Plan'!AE486</f>
        <v>Tentative</v>
      </c>
      <c r="DL11" s="67" t="str">
        <f>'Geo &amp; CIC Deployment Plan'!AF486</f>
        <v>Tentative</v>
      </c>
      <c r="DM11" s="64">
        <f>'Geo &amp; CIC Deployment Plan'!V486</f>
        <v>23</v>
      </c>
      <c r="DN11" s="64"/>
      <c r="DO11" s="65" t="s">
        <v>1258</v>
      </c>
      <c r="DP11" s="65" t="s">
        <v>390</v>
      </c>
      <c r="DQ11" s="66" t="s">
        <v>1506</v>
      </c>
      <c r="DR11" s="67" t="e">
        <f>'Geo &amp; CIC Deployment Plan'!#REF!</f>
        <v>#REF!</v>
      </c>
      <c r="DS11" s="67" t="e">
        <f>'Geo &amp; CIC Deployment Plan'!#REF!</f>
        <v>#REF!</v>
      </c>
      <c r="DT11" s="67" t="e">
        <f>'Geo &amp; CIC Deployment Plan'!#REF!</f>
        <v>#REF!</v>
      </c>
      <c r="DU11" s="67" t="e">
        <f>'Geo &amp; CIC Deployment Plan'!#REF!</f>
        <v>#REF!</v>
      </c>
      <c r="DV11" s="67" t="e">
        <f>'Geo &amp; CIC Deployment Plan'!#REF!</f>
        <v>#REF!</v>
      </c>
      <c r="DW11" s="67"/>
      <c r="DX11" s="67" t="e">
        <f>'Geo &amp; CIC Deployment Plan'!#REF!</f>
        <v>#REF!</v>
      </c>
      <c r="DY11" s="67" t="e">
        <f>'Geo &amp; CIC Deployment Plan'!#REF!</f>
        <v>#REF!</v>
      </c>
      <c r="DZ11" s="64" t="e">
        <f>'Geo &amp; CIC Deployment Plan'!#REF!</f>
        <v>#REF!</v>
      </c>
      <c r="EA11" s="64"/>
      <c r="EB11" s="65" t="s">
        <v>1258</v>
      </c>
      <c r="EC11" s="65" t="s">
        <v>1282</v>
      </c>
      <c r="ED11" s="66" t="s">
        <v>1507</v>
      </c>
      <c r="EE11" s="67" t="e">
        <f>'Geo &amp; CIC Deployment Plan'!#REF!</f>
        <v>#REF!</v>
      </c>
      <c r="EF11" s="67" t="e">
        <f>'Geo &amp; CIC Deployment Plan'!#REF!</f>
        <v>#REF!</v>
      </c>
      <c r="EG11" s="67" t="e">
        <f>'Geo &amp; CIC Deployment Plan'!#REF!</f>
        <v>#REF!</v>
      </c>
      <c r="EH11" s="67" t="e">
        <f>'Geo &amp; CIC Deployment Plan'!#REF!</f>
        <v>#REF!</v>
      </c>
      <c r="EI11" s="67" t="e">
        <f>'Geo &amp; CIC Deployment Plan'!#REF!</f>
        <v>#REF!</v>
      </c>
      <c r="EJ11" s="67"/>
      <c r="EK11" s="67" t="e">
        <f>'Geo &amp; CIC Deployment Plan'!#REF!</f>
        <v>#REF!</v>
      </c>
      <c r="EL11" s="67" t="e">
        <f>'Geo &amp; CIC Deployment Plan'!#REF!</f>
        <v>#REF!</v>
      </c>
      <c r="EM11" s="64" t="e">
        <f>'Geo &amp; CIC Deployment Plan'!#REF!</f>
        <v>#REF!</v>
      </c>
      <c r="EN11" s="64"/>
      <c r="EO11" s="65"/>
      <c r="EP11" s="65"/>
      <c r="EQ11" s="72"/>
      <c r="ER11" s="65"/>
      <c r="ES11" s="65"/>
      <c r="ET11" s="65"/>
      <c r="EU11" s="65"/>
      <c r="EV11" s="65"/>
      <c r="EW11" s="65"/>
      <c r="EX11" s="65"/>
      <c r="EY11" s="65"/>
      <c r="EZ11" s="65"/>
      <c r="FA11" s="65"/>
      <c r="FC11" s="48"/>
      <c r="FD11" s="48"/>
      <c r="FE11" s="48"/>
      <c r="FF11" s="48"/>
      <c r="FG11" s="48"/>
      <c r="FH11" s="48"/>
      <c r="FI11" s="48"/>
      <c r="FJ11" s="48"/>
      <c r="FK11" s="48"/>
      <c r="FL11" s="48"/>
      <c r="FM11" s="48"/>
      <c r="FN11" s="48"/>
      <c r="FO11" s="48"/>
      <c r="FP11" s="48"/>
      <c r="FQ11" s="48"/>
      <c r="FR11" s="48"/>
      <c r="FS11" s="48"/>
      <c r="FT11" s="48"/>
      <c r="FU11" s="48"/>
      <c r="FV11" s="48"/>
      <c r="FX11" s="50"/>
      <c r="FY11" s="50"/>
      <c r="FZ11" s="50"/>
      <c r="GA11" s="50"/>
    </row>
    <row r="12" spans="2:185" ht="24">
      <c r="B12" s="27" t="s">
        <v>1258</v>
      </c>
      <c r="C12" s="26" t="s">
        <v>1282</v>
      </c>
      <c r="D12" s="66" t="s">
        <v>1508</v>
      </c>
      <c r="E12" s="64" t="str">
        <f>'Geo &amp; CIC Deployment Plan'!AG3</f>
        <v>Legacy CIC</v>
      </c>
      <c r="F12" s="64" t="str">
        <f>'Geo &amp; CIC Deployment Plan'!AH3</f>
        <v>F2F</v>
      </c>
      <c r="G12" s="64" t="str">
        <f>'Geo &amp; CIC Deployment Plan'!Z3</f>
        <v>Complete</v>
      </c>
      <c r="H12" s="64" t="str">
        <f>'Geo &amp; CIC Deployment Plan'!AB3</f>
        <v>Complete</v>
      </c>
      <c r="I12" s="64" t="str">
        <f>'Geo &amp; CIC Deployment Plan'!AD3</f>
        <v>Complete</v>
      </c>
      <c r="J12" s="64"/>
      <c r="K12" s="64" t="str">
        <f>'Geo &amp; CIC Deployment Plan'!AE3</f>
        <v>Planned</v>
      </c>
      <c r="L12" s="64" t="str">
        <f>'Geo &amp; CIC Deployment Plan'!AF3</f>
        <v>Planned</v>
      </c>
      <c r="M12" s="64">
        <f>'Geo &amp; CIC Deployment Plan'!V3</f>
        <v>116</v>
      </c>
      <c r="N12" s="64"/>
      <c r="O12" s="65" t="s">
        <v>1452</v>
      </c>
      <c r="P12" s="65" t="s">
        <v>1289</v>
      </c>
      <c r="Q12" s="66" t="s">
        <v>1509</v>
      </c>
      <c r="R12" s="64" t="str">
        <f>'Geo &amp; CIC Deployment Plan'!AG516</f>
        <v>New GBS Associates Induction</v>
      </c>
      <c r="S12" s="64" t="str">
        <f>'Geo &amp; CIC Deployment Plan'!AH516</f>
        <v>F2F</v>
      </c>
      <c r="T12" s="64" t="str">
        <f>'Geo &amp; CIC Deployment Plan'!Z516</f>
        <v>Complete</v>
      </c>
      <c r="U12" s="64" t="str">
        <f>'Geo &amp; CIC Deployment Plan'!AB516</f>
        <v>Complete</v>
      </c>
      <c r="V12" s="64" t="str">
        <f>'Geo &amp; CIC Deployment Plan'!AD516</f>
        <v>Complete</v>
      </c>
      <c r="W12" s="71">
        <v>0.36399999999999999</v>
      </c>
      <c r="X12" s="64" t="str">
        <f>'Geo &amp; CIC Deployment Plan'!AE516</f>
        <v>Planned</v>
      </c>
      <c r="Y12" s="64" t="str">
        <f>'Geo &amp; CIC Deployment Plan'!AF516</f>
        <v>Planned</v>
      </c>
      <c r="Z12" s="64">
        <f>'Geo &amp; CIC Deployment Plan'!U516</f>
        <v>23</v>
      </c>
      <c r="AA12" s="64">
        <v>0</v>
      </c>
      <c r="AB12" s="65"/>
      <c r="AC12" s="65"/>
      <c r="AD12" s="73"/>
      <c r="AE12" s="65"/>
      <c r="AF12" s="65"/>
      <c r="AG12" s="65"/>
      <c r="AH12" s="65"/>
      <c r="AI12" s="65"/>
      <c r="AJ12" s="65"/>
      <c r="AK12" s="65"/>
      <c r="AL12" s="65"/>
      <c r="AM12" s="65"/>
      <c r="AN12" s="65"/>
      <c r="AO12" s="65" t="s">
        <v>1452</v>
      </c>
      <c r="AP12" s="65" t="s">
        <v>1288</v>
      </c>
      <c r="AQ12" s="66" t="s">
        <v>1503</v>
      </c>
      <c r="AR12" s="64" t="str">
        <f>'Geo &amp; CIC Deployment Plan'!AG504</f>
        <v>New GBS Associates Induction</v>
      </c>
      <c r="AS12" s="64" t="str">
        <f>'Geo &amp; CIC Deployment Plan'!AH504</f>
        <v>Virtual</v>
      </c>
      <c r="AT12" s="64" t="str">
        <f>'Geo &amp; CIC Deployment Plan'!Z504</f>
        <v>Complete</v>
      </c>
      <c r="AU12" s="64" t="str">
        <f>'Geo &amp; CIC Deployment Plan'!AC504</f>
        <v>Complete</v>
      </c>
      <c r="AV12" s="64" t="str">
        <f>'Geo &amp; CIC Deployment Plan'!AD504</f>
        <v>Complete</v>
      </c>
      <c r="AW12" s="64"/>
      <c r="AX12" s="64" t="str">
        <f>'Geo &amp; CIC Deployment Plan'!AE504</f>
        <v>Planned</v>
      </c>
      <c r="AY12" s="64" t="str">
        <f>'Geo &amp; CIC Deployment Plan'!AF504</f>
        <v>Planned</v>
      </c>
      <c r="AZ12" s="64">
        <f>'Geo &amp; CIC Deployment Plan'!U504</f>
        <v>116</v>
      </c>
      <c r="BA12" s="64">
        <v>43</v>
      </c>
      <c r="BB12" s="65" t="s">
        <v>1258</v>
      </c>
      <c r="BC12" s="65" t="s">
        <v>1286</v>
      </c>
      <c r="BD12" s="66" t="s">
        <v>1510</v>
      </c>
      <c r="BE12" s="67" t="str">
        <f>'Geo &amp; CIC Deployment Plan'!AG242</f>
        <v>New GBS Associates Induction</v>
      </c>
      <c r="BF12" s="67" t="str">
        <f>'Geo &amp; CIC Deployment Plan'!AH242</f>
        <v>Virtual</v>
      </c>
      <c r="BG12" s="67" t="str">
        <f>'Geo &amp; CIC Deployment Plan'!Z242</f>
        <v>Complete</v>
      </c>
      <c r="BH12" s="67" t="str">
        <f>'Geo &amp; CIC Deployment Plan'!AB242</f>
        <v>Complete</v>
      </c>
      <c r="BI12" s="67" t="str">
        <f>'Geo &amp; CIC Deployment Plan'!AD242</f>
        <v>Complete</v>
      </c>
      <c r="BJ12" s="68">
        <v>0</v>
      </c>
      <c r="BK12" s="67" t="str">
        <f>'Geo &amp; CIC Deployment Plan'!AE242</f>
        <v>Planned</v>
      </c>
      <c r="BL12" s="67" t="str">
        <f>'Geo &amp; CIC Deployment Plan'!AF242</f>
        <v>Planned</v>
      </c>
      <c r="BM12" s="64">
        <f>'Geo &amp; CIC Deployment Plan'!V242</f>
        <v>5</v>
      </c>
      <c r="BN12" s="64">
        <v>75</v>
      </c>
      <c r="BO12" s="65"/>
      <c r="BP12" s="65"/>
      <c r="BQ12" s="65"/>
      <c r="BR12" s="65"/>
      <c r="BS12" s="65"/>
      <c r="BT12" s="65"/>
      <c r="BU12" s="65"/>
      <c r="BV12" s="65"/>
      <c r="BW12" s="65"/>
      <c r="BX12" s="65"/>
      <c r="BY12" s="65"/>
      <c r="BZ12" s="65"/>
      <c r="CA12" s="65"/>
      <c r="CB12" s="65" t="s">
        <v>1258</v>
      </c>
      <c r="CC12" s="65" t="s">
        <v>1286</v>
      </c>
      <c r="CD12" s="66" t="s">
        <v>1511</v>
      </c>
      <c r="CE12" s="67" t="str">
        <f>'Geo &amp; CIC Deployment Plan'!AG246</f>
        <v>New GBS Associates Induction</v>
      </c>
      <c r="CF12" s="67" t="str">
        <f>'Geo &amp; CIC Deployment Plan'!AH246</f>
        <v>Virtual</v>
      </c>
      <c r="CG12" s="67" t="str">
        <f>'Geo &amp; CIC Deployment Plan'!Z246</f>
        <v>Complete</v>
      </c>
      <c r="CH12" s="67" t="str">
        <f>'Geo &amp; CIC Deployment Plan'!AB246</f>
        <v>Complete</v>
      </c>
      <c r="CI12" s="67" t="str">
        <f>'Geo &amp; CIC Deployment Plan'!AD246</f>
        <v>Complete</v>
      </c>
      <c r="CJ12" s="67"/>
      <c r="CK12" s="67" t="str">
        <f>'Geo &amp; CIC Deployment Plan'!AE246</f>
        <v>Planned</v>
      </c>
      <c r="CL12" s="67" t="str">
        <f>'Geo &amp; CIC Deployment Plan'!AF246</f>
        <v>Planned</v>
      </c>
      <c r="CM12" s="64">
        <f>'Geo &amp; CIC Deployment Plan'!V246</f>
        <v>23</v>
      </c>
      <c r="CN12" s="64"/>
      <c r="CO12" s="65"/>
      <c r="CP12" s="65"/>
      <c r="CQ12" s="548" t="s">
        <v>1443</v>
      </c>
      <c r="CR12" s="549"/>
      <c r="CS12" s="549"/>
      <c r="CT12" s="549"/>
      <c r="CU12" s="549"/>
      <c r="CV12" s="549"/>
      <c r="CW12" s="549"/>
      <c r="CX12" s="549"/>
      <c r="CY12" s="549"/>
      <c r="CZ12" s="549"/>
      <c r="DA12" s="550"/>
      <c r="DB12" s="65"/>
      <c r="DC12" s="65"/>
      <c r="DD12" s="548" t="s">
        <v>1441</v>
      </c>
      <c r="DE12" s="549"/>
      <c r="DF12" s="549"/>
      <c r="DG12" s="549"/>
      <c r="DH12" s="549"/>
      <c r="DI12" s="549"/>
      <c r="DJ12" s="549"/>
      <c r="DK12" s="549"/>
      <c r="DL12" s="549"/>
      <c r="DM12" s="549"/>
      <c r="DN12" s="550"/>
      <c r="DO12" s="65"/>
      <c r="DP12" s="65"/>
      <c r="DQ12" s="548" t="s">
        <v>1440</v>
      </c>
      <c r="DR12" s="549"/>
      <c r="DS12" s="549"/>
      <c r="DT12" s="549"/>
      <c r="DU12" s="549"/>
      <c r="DV12" s="549"/>
      <c r="DW12" s="549"/>
      <c r="DX12" s="549"/>
      <c r="DY12" s="549"/>
      <c r="DZ12" s="549"/>
      <c r="EA12" s="550"/>
      <c r="EB12" s="65"/>
      <c r="EC12" s="65"/>
      <c r="ED12" s="548" t="s">
        <v>1461</v>
      </c>
      <c r="EE12" s="549"/>
      <c r="EF12" s="549"/>
      <c r="EG12" s="549"/>
      <c r="EH12" s="549"/>
      <c r="EI12" s="549"/>
      <c r="EJ12" s="549"/>
      <c r="EK12" s="549"/>
      <c r="EL12" s="549"/>
      <c r="EM12" s="549"/>
      <c r="EN12" s="550"/>
      <c r="EO12" s="65"/>
      <c r="EP12" s="65"/>
      <c r="EQ12" s="73"/>
      <c r="ER12" s="74"/>
      <c r="ES12" s="74"/>
      <c r="ET12" s="74"/>
      <c r="EU12" s="74"/>
      <c r="EV12" s="74"/>
      <c r="EW12" s="74"/>
      <c r="EX12" s="74"/>
      <c r="EY12" s="74"/>
      <c r="EZ12" s="65"/>
      <c r="FA12" s="65"/>
      <c r="FC12" s="48"/>
      <c r="FD12" s="48"/>
      <c r="FE12" s="48"/>
      <c r="FF12" s="48"/>
      <c r="FG12" s="48"/>
      <c r="FH12" s="48"/>
      <c r="FI12" s="48"/>
      <c r="FJ12" s="48"/>
      <c r="FK12" s="48"/>
      <c r="FL12" s="48"/>
      <c r="FM12" s="48"/>
      <c r="FN12" s="48"/>
      <c r="FO12" s="48"/>
      <c r="FP12" s="48"/>
      <c r="FQ12" s="48"/>
      <c r="FR12" s="48"/>
      <c r="FS12" s="48"/>
      <c r="FT12" s="48"/>
      <c r="FU12" s="48"/>
      <c r="FV12" s="48"/>
      <c r="FX12" s="50"/>
      <c r="FY12" s="50"/>
      <c r="FZ12" s="50"/>
      <c r="GA12" s="50"/>
    </row>
    <row r="13" spans="2:185" ht="24" customHeight="1">
      <c r="B13" s="27" t="s">
        <v>1258</v>
      </c>
      <c r="C13" s="26" t="s">
        <v>1282</v>
      </c>
      <c r="D13" s="66" t="s">
        <v>1512</v>
      </c>
      <c r="E13" s="64" t="str">
        <f>'Geo &amp; CIC Deployment Plan'!AG4</f>
        <v>Legacy CIC</v>
      </c>
      <c r="F13" s="64" t="str">
        <f>'Geo &amp; CIC Deployment Plan'!AH4</f>
        <v>F2F</v>
      </c>
      <c r="G13" s="64" t="str">
        <f>'Geo &amp; CIC Deployment Plan'!Z4</f>
        <v>Complete</v>
      </c>
      <c r="H13" s="64" t="str">
        <f>'Geo &amp; CIC Deployment Plan'!AB4</f>
        <v>Complete</v>
      </c>
      <c r="I13" s="64" t="str">
        <f>'Geo &amp; CIC Deployment Plan'!AD4</f>
        <v>Complete</v>
      </c>
      <c r="J13" s="64"/>
      <c r="K13" s="64" t="str">
        <f>'Geo &amp; CIC Deployment Plan'!AE4</f>
        <v>Planned</v>
      </c>
      <c r="L13" s="64" t="str">
        <f>'Geo &amp; CIC Deployment Plan'!AF4</f>
        <v>Planned</v>
      </c>
      <c r="M13" s="64">
        <f>'Geo &amp; CIC Deployment Plan'!V4</f>
        <v>12</v>
      </c>
      <c r="N13" s="64"/>
      <c r="O13" s="65"/>
      <c r="P13" s="65"/>
      <c r="Q13" s="548" t="s">
        <v>1460</v>
      </c>
      <c r="R13" s="549"/>
      <c r="S13" s="549"/>
      <c r="T13" s="549"/>
      <c r="U13" s="549"/>
      <c r="V13" s="549"/>
      <c r="W13" s="549"/>
      <c r="X13" s="549"/>
      <c r="Y13" s="549"/>
      <c r="Z13" s="549"/>
      <c r="AA13" s="550"/>
      <c r="AB13" s="65"/>
      <c r="AC13" s="65"/>
      <c r="AD13" s="73"/>
      <c r="AE13" s="65"/>
      <c r="AF13" s="65"/>
      <c r="AG13" s="65"/>
      <c r="AH13" s="65"/>
      <c r="AI13" s="65"/>
      <c r="AJ13" s="65"/>
      <c r="AK13" s="65"/>
      <c r="AL13" s="65"/>
      <c r="AM13" s="65"/>
      <c r="AN13" s="65"/>
      <c r="AO13" s="65" t="s">
        <v>1452</v>
      </c>
      <c r="AP13" s="65" t="s">
        <v>1288</v>
      </c>
      <c r="AQ13" s="66" t="s">
        <v>1513</v>
      </c>
      <c r="AR13" s="64" t="str">
        <f>'Geo &amp; CIC Deployment Plan'!AG505</f>
        <v>New GBS Associates Induction</v>
      </c>
      <c r="AS13" s="64" t="str">
        <f>'Geo &amp; CIC Deployment Plan'!AH505</f>
        <v>Virtual</v>
      </c>
      <c r="AT13" s="64" t="str">
        <f>'Geo &amp; CIC Deployment Plan'!Z505</f>
        <v>Complete</v>
      </c>
      <c r="AU13" s="64" t="str">
        <f>'Geo &amp; CIC Deployment Plan'!AC505</f>
        <v>Complete</v>
      </c>
      <c r="AV13" s="64" t="str">
        <f>'Geo &amp; CIC Deployment Plan'!AD505</f>
        <v>Complete</v>
      </c>
      <c r="AW13" s="64"/>
      <c r="AX13" s="64" t="str">
        <f>'Geo &amp; CIC Deployment Plan'!AE505</f>
        <v>Planned</v>
      </c>
      <c r="AY13" s="64" t="str">
        <f>'Geo &amp; CIC Deployment Plan'!AF505</f>
        <v>Planned</v>
      </c>
      <c r="AZ13" s="64">
        <f>'Geo &amp; CIC Deployment Plan'!U505</f>
        <v>338</v>
      </c>
      <c r="BA13" s="64">
        <v>63</v>
      </c>
      <c r="BB13" s="65"/>
      <c r="BC13" s="65"/>
      <c r="BD13" s="548" t="s">
        <v>1514</v>
      </c>
      <c r="BE13" s="549"/>
      <c r="BF13" s="549"/>
      <c r="BG13" s="549"/>
      <c r="BH13" s="549"/>
      <c r="BI13" s="549"/>
      <c r="BJ13" s="549"/>
      <c r="BK13" s="549"/>
      <c r="BL13" s="549"/>
      <c r="BM13" s="549"/>
      <c r="BN13" s="550"/>
      <c r="BO13" s="65"/>
      <c r="BP13" s="65"/>
      <c r="BQ13" s="65"/>
      <c r="BR13" s="65"/>
      <c r="BS13" s="65"/>
      <c r="BT13" s="65"/>
      <c r="BU13" s="65"/>
      <c r="BV13" s="65"/>
      <c r="BW13" s="65"/>
      <c r="BX13" s="65"/>
      <c r="BY13" s="65"/>
      <c r="BZ13" s="65"/>
      <c r="CA13" s="65"/>
      <c r="CB13" s="65"/>
      <c r="CC13" s="65"/>
      <c r="CD13" s="478" t="s">
        <v>1461</v>
      </c>
      <c r="CE13" s="479"/>
      <c r="CF13" s="479"/>
      <c r="CG13" s="479"/>
      <c r="CH13" s="479"/>
      <c r="CI13" s="479"/>
      <c r="CJ13" s="479"/>
      <c r="CK13" s="479"/>
      <c r="CL13" s="479"/>
      <c r="CM13" s="479"/>
      <c r="CN13" s="480"/>
      <c r="CO13" s="65" t="s">
        <v>1258</v>
      </c>
      <c r="CP13" s="65" t="s">
        <v>1286</v>
      </c>
      <c r="CQ13" s="66" t="s">
        <v>1515</v>
      </c>
      <c r="CR13" s="67" t="str">
        <f>'Geo &amp; CIC Deployment Plan'!AG248</f>
        <v>New GBS Associates Induction</v>
      </c>
      <c r="CS13" s="67" t="str">
        <f>'Geo &amp; CIC Deployment Plan'!AH248</f>
        <v>Virtual</v>
      </c>
      <c r="CT13" s="67" t="str">
        <f>'Geo &amp; CIC Deployment Plan'!Z248</f>
        <v>Complete</v>
      </c>
      <c r="CU13" s="67" t="str">
        <f>'Geo &amp; CIC Deployment Plan'!AB248</f>
        <v>Complete</v>
      </c>
      <c r="CV13" s="67" t="str">
        <f>'Geo &amp; CIC Deployment Plan'!AD248</f>
        <v>In Progress</v>
      </c>
      <c r="CW13" s="67"/>
      <c r="CX13" s="67" t="str">
        <f>'Geo &amp; CIC Deployment Plan'!AE248</f>
        <v>Planned</v>
      </c>
      <c r="CY13" s="67" t="str">
        <f>'Geo &amp; CIC Deployment Plan'!AF248</f>
        <v>Planned</v>
      </c>
      <c r="CZ13" s="64">
        <f>'Geo &amp; CIC Deployment Plan'!V248</f>
        <v>15</v>
      </c>
      <c r="DA13" s="64"/>
      <c r="DB13" s="65" t="s">
        <v>1258</v>
      </c>
      <c r="DC13" s="65" t="s">
        <v>1450</v>
      </c>
      <c r="DD13" s="66" t="s">
        <v>1516</v>
      </c>
      <c r="DE13" s="67" t="str">
        <f>'Geo &amp; CIC Deployment Plan'!AG151</f>
        <v>New GBS Associates Induction</v>
      </c>
      <c r="DF13" s="67" t="str">
        <f>'Geo &amp; CIC Deployment Plan'!AH151</f>
        <v>Virtual</v>
      </c>
      <c r="DG13" s="67" t="str">
        <f>'Geo &amp; CIC Deployment Plan'!Z151</f>
        <v>Complete</v>
      </c>
      <c r="DH13" s="67" t="str">
        <f>'Geo &amp; CIC Deployment Plan'!AB151</f>
        <v>Complete</v>
      </c>
      <c r="DI13" s="67" t="str">
        <f>'Geo &amp; CIC Deployment Plan'!AD151</f>
        <v>In Progress</v>
      </c>
      <c r="DJ13" s="67"/>
      <c r="DK13" s="67" t="str">
        <f>'Geo &amp; CIC Deployment Plan'!AE151</f>
        <v>Planned</v>
      </c>
      <c r="DL13" s="67" t="str">
        <f>'Geo &amp; CIC Deployment Plan'!AF151</f>
        <v>Planned</v>
      </c>
      <c r="DM13" s="64">
        <f>'Geo &amp; CIC Deployment Plan'!V151</f>
        <v>19</v>
      </c>
      <c r="DN13" s="64"/>
      <c r="DO13" s="65" t="s">
        <v>1258</v>
      </c>
      <c r="DP13" s="65" t="s">
        <v>1282</v>
      </c>
      <c r="DQ13" s="66" t="s">
        <v>1517</v>
      </c>
      <c r="DR13" s="67" t="str">
        <f>'Geo &amp; CIC Deployment Plan'!AG$15</f>
        <v>New GBS Associates Induction</v>
      </c>
      <c r="DS13" s="67" t="str">
        <f>'Geo &amp; CIC Deployment Plan'!AH$15</f>
        <v>Virtual</v>
      </c>
      <c r="DT13" s="67" t="str">
        <f>'Geo &amp; CIC Deployment Plan'!Z$15</f>
        <v>Complete</v>
      </c>
      <c r="DU13" s="67" t="str">
        <f>'Geo &amp; CIC Deployment Plan'!AB$15</f>
        <v>Complete</v>
      </c>
      <c r="DV13" s="67" t="str">
        <f>'Geo &amp; CIC Deployment Plan'!AD$15</f>
        <v>Planned</v>
      </c>
      <c r="DW13" s="67"/>
      <c r="DX13" s="67" t="str">
        <f>'Geo &amp; CIC Deployment Plan'!AE$15</f>
        <v>Planned</v>
      </c>
      <c r="DY13" s="67" t="str">
        <f>'Geo &amp; CIC Deployment Plan'!AF$15</f>
        <v>Planned</v>
      </c>
      <c r="DZ13" s="64">
        <f>'Geo &amp; CIC Deployment Plan'!V15</f>
        <v>65</v>
      </c>
      <c r="EA13" s="64"/>
      <c r="EB13" s="65" t="s">
        <v>1452</v>
      </c>
      <c r="EC13" s="65" t="s">
        <v>1310</v>
      </c>
      <c r="ED13" s="66" t="s">
        <v>1518</v>
      </c>
      <c r="EE13" s="67" t="str">
        <f>'Geo &amp; CIC Deployment Plan'!AG$435</f>
        <v>New GBS Associates Induction</v>
      </c>
      <c r="EF13" s="67" t="str">
        <f>'Geo &amp; CIC Deployment Plan'!AH$435</f>
        <v>Virtual</v>
      </c>
      <c r="EG13" s="67" t="str">
        <f>'Geo &amp; CIC Deployment Plan'!Z$435</f>
        <v>In Progress</v>
      </c>
      <c r="EH13" s="67">
        <f>'Geo &amp; CIC Deployment Plan'!AB$435</f>
        <v>0</v>
      </c>
      <c r="EI13" s="67">
        <f>'Geo &amp; CIC Deployment Plan'!AD$435</f>
        <v>0</v>
      </c>
      <c r="EJ13" s="67"/>
      <c r="EK13" s="67">
        <f>'Geo &amp; CIC Deployment Plan'!AE$435</f>
        <v>0</v>
      </c>
      <c r="EL13" s="67">
        <f>'Geo &amp; CIC Deployment Plan'!AF$435</f>
        <v>0</v>
      </c>
      <c r="EM13" s="64">
        <f>'Geo &amp; CIC Deployment Plan'!U435</f>
        <v>20</v>
      </c>
      <c r="EN13" s="64"/>
      <c r="EO13" s="65"/>
      <c r="EP13" s="65"/>
      <c r="EQ13" s="65"/>
      <c r="ER13" s="65"/>
      <c r="ES13" s="65"/>
      <c r="ET13" s="65"/>
      <c r="EU13" s="65"/>
      <c r="EV13" s="65"/>
      <c r="EW13" s="65"/>
      <c r="EX13" s="65"/>
      <c r="EY13" s="65"/>
      <c r="EZ13" s="65"/>
      <c r="FA13" s="65"/>
      <c r="FC13" s="48"/>
      <c r="FD13" s="48"/>
      <c r="FE13" s="48"/>
      <c r="FF13" s="48"/>
      <c r="FG13" s="48"/>
      <c r="FH13" s="48"/>
      <c r="FI13" s="48"/>
      <c r="FJ13" s="48"/>
      <c r="FK13" s="48"/>
      <c r="FL13" s="48"/>
      <c r="FM13" s="48"/>
      <c r="FN13" s="48"/>
      <c r="FO13" s="48"/>
      <c r="FP13" s="48"/>
      <c r="FQ13" s="48"/>
      <c r="FR13" s="48"/>
      <c r="FS13" s="48"/>
      <c r="FT13" s="48"/>
      <c r="FU13" s="48"/>
      <c r="FV13" s="48"/>
      <c r="FX13" s="50"/>
      <c r="FY13" s="50"/>
      <c r="FZ13" s="50"/>
      <c r="GA13" s="50"/>
    </row>
    <row r="14" spans="2:185" ht="36">
      <c r="B14" s="27" t="s">
        <v>1258</v>
      </c>
      <c r="C14" s="26" t="s">
        <v>1282</v>
      </c>
      <c r="D14" s="66" t="s">
        <v>1519</v>
      </c>
      <c r="E14" s="64" t="str">
        <f>'Geo &amp; CIC Deployment Plan'!AG5</f>
        <v>Legacy CIC</v>
      </c>
      <c r="F14" s="64" t="str">
        <f>'Geo &amp; CIC Deployment Plan'!AH5</f>
        <v>F2F</v>
      </c>
      <c r="G14" s="64" t="str">
        <f>'Geo &amp; CIC Deployment Plan'!Z5</f>
        <v>Complete</v>
      </c>
      <c r="H14" s="64" t="str">
        <f>'Geo &amp; CIC Deployment Plan'!AB5</f>
        <v>Complete</v>
      </c>
      <c r="I14" s="64" t="str">
        <f>'Geo &amp; CIC Deployment Plan'!AD5</f>
        <v>Complete</v>
      </c>
      <c r="J14" s="64"/>
      <c r="K14" s="64" t="str">
        <f>'Geo &amp; CIC Deployment Plan'!AE5</f>
        <v>Planned</v>
      </c>
      <c r="L14" s="64" t="str">
        <f>'Geo &amp; CIC Deployment Plan'!AF5</f>
        <v>Planned</v>
      </c>
      <c r="M14" s="64">
        <f>'Geo &amp; CIC Deployment Plan'!V5</f>
        <v>87</v>
      </c>
      <c r="N14" s="64"/>
      <c r="O14" s="65" t="s">
        <v>1258</v>
      </c>
      <c r="P14" s="65" t="s">
        <v>918</v>
      </c>
      <c r="Q14" s="66" t="s">
        <v>1520</v>
      </c>
      <c r="R14" s="64" t="str">
        <f>'Geo &amp; CIC Deployment Plan'!AG369</f>
        <v>Legacy CIC</v>
      </c>
      <c r="S14" s="64" t="str">
        <f>'Geo &amp; CIC Deployment Plan'!AH369</f>
        <v>F2F</v>
      </c>
      <c r="T14" s="64" t="str">
        <f>'Geo &amp; CIC Deployment Plan'!Z369</f>
        <v>Complete</v>
      </c>
      <c r="U14" s="64" t="str">
        <f>'Geo &amp; CIC Deployment Plan'!AB369</f>
        <v>Complete</v>
      </c>
      <c r="V14" s="64" t="str">
        <f>'Geo &amp; CIC Deployment Plan'!AD369</f>
        <v>Complete</v>
      </c>
      <c r="W14" s="64"/>
      <c r="X14" s="64" t="str">
        <f>'Geo &amp; CIC Deployment Plan'!AE369</f>
        <v>Planned</v>
      </c>
      <c r="Y14" s="64" t="str">
        <f>'Geo &amp; CIC Deployment Plan'!AF369</f>
        <v>Planned</v>
      </c>
      <c r="Z14" s="64">
        <f>'Geo &amp; CIC Deployment Plan'!V369</f>
        <v>13</v>
      </c>
      <c r="AA14" s="64"/>
      <c r="AB14" s="65"/>
      <c r="AC14" s="65"/>
      <c r="AD14" s="73"/>
      <c r="AE14" s="65"/>
      <c r="AF14" s="65"/>
      <c r="AG14" s="65"/>
      <c r="AH14" s="65"/>
      <c r="AI14" s="65"/>
      <c r="AJ14" s="65"/>
      <c r="AK14" s="65"/>
      <c r="AL14" s="65"/>
      <c r="AM14" s="65"/>
      <c r="AN14" s="65"/>
      <c r="AO14" s="65"/>
      <c r="AP14" s="65"/>
      <c r="AQ14" s="548" t="s">
        <v>1461</v>
      </c>
      <c r="AR14" s="549"/>
      <c r="AS14" s="549"/>
      <c r="AT14" s="549"/>
      <c r="AU14" s="549"/>
      <c r="AV14" s="549"/>
      <c r="AW14" s="549"/>
      <c r="AX14" s="549"/>
      <c r="AY14" s="549"/>
      <c r="AZ14" s="549"/>
      <c r="BA14" s="550"/>
      <c r="BB14" s="65" t="s">
        <v>1452</v>
      </c>
      <c r="BC14" s="65" t="s">
        <v>327</v>
      </c>
      <c r="BD14" s="66" t="s">
        <v>1521</v>
      </c>
      <c r="BE14" s="67" t="str">
        <f>'Geo &amp; CIC Deployment Plan'!AG94</f>
        <v>New GBS Associates Induction</v>
      </c>
      <c r="BF14" s="67" t="str">
        <f>'Geo &amp; CIC Deployment Plan'!AH94</f>
        <v>Virtual</v>
      </c>
      <c r="BG14" s="67" t="str">
        <f>'Geo &amp; CIC Deployment Plan'!Z94</f>
        <v>Complete</v>
      </c>
      <c r="BH14" s="67" t="str">
        <f>'Geo &amp; CIC Deployment Plan'!AC94</f>
        <v>Complete</v>
      </c>
      <c r="BI14" s="67" t="str">
        <f>'Geo &amp; CIC Deployment Plan'!AD94</f>
        <v>Complete</v>
      </c>
      <c r="BJ14" s="67"/>
      <c r="BK14" s="67" t="str">
        <f>'Geo &amp; CIC Deployment Plan'!AE94</f>
        <v>Planned</v>
      </c>
      <c r="BL14" s="67" t="str">
        <f>'Geo &amp; CIC Deployment Plan'!AF94</f>
        <v>Planned</v>
      </c>
      <c r="BM14" s="64">
        <f>'Geo &amp; CIC Deployment Plan'!U94</f>
        <v>18</v>
      </c>
      <c r="BN14" s="64"/>
      <c r="BO14" s="65"/>
      <c r="BP14" s="65"/>
      <c r="BQ14" s="65"/>
      <c r="BR14" s="65"/>
      <c r="BS14" s="65"/>
      <c r="BT14" s="65"/>
      <c r="BU14" s="65"/>
      <c r="BV14" s="65"/>
      <c r="BW14" s="65"/>
      <c r="BX14" s="65"/>
      <c r="BY14" s="65"/>
      <c r="BZ14" s="65"/>
      <c r="CA14" s="65"/>
      <c r="CB14" s="65" t="s">
        <v>1452</v>
      </c>
      <c r="CC14" s="65" t="s">
        <v>1310</v>
      </c>
      <c r="CD14" s="66" t="s">
        <v>1522</v>
      </c>
      <c r="CE14" s="67" t="str">
        <f>'Geo &amp; CIC Deployment Plan'!AG430</f>
        <v>New GBS Associates Induction</v>
      </c>
      <c r="CF14" s="67" t="str">
        <f>'Geo &amp; CIC Deployment Plan'!AH430</f>
        <v>Virtual</v>
      </c>
      <c r="CG14" s="67" t="str">
        <f>'Geo &amp; CIC Deployment Plan'!Z430</f>
        <v>Complete</v>
      </c>
      <c r="CH14" s="67" t="str">
        <f>'Geo &amp; CIC Deployment Plan'!AB430</f>
        <v>Complete</v>
      </c>
      <c r="CI14" s="67" t="str">
        <f>'Geo &amp; CIC Deployment Plan'!AD430</f>
        <v>Complete</v>
      </c>
      <c r="CJ14" s="67"/>
      <c r="CK14" s="67" t="str">
        <f>'Geo &amp; CIC Deployment Plan'!AE430</f>
        <v>Planned</v>
      </c>
      <c r="CL14" s="67" t="str">
        <f>'Geo &amp; CIC Deployment Plan'!AF430</f>
        <v>Planned</v>
      </c>
      <c r="CM14" s="64">
        <f>'Geo &amp; CIC Deployment Plan'!U430</f>
        <v>16</v>
      </c>
      <c r="CN14" s="64"/>
      <c r="CO14" s="65"/>
      <c r="CP14" s="65"/>
      <c r="CQ14" s="548" t="s">
        <v>1514</v>
      </c>
      <c r="CR14" s="549"/>
      <c r="CS14" s="549"/>
      <c r="CT14" s="549"/>
      <c r="CU14" s="549"/>
      <c r="CV14" s="549"/>
      <c r="CW14" s="549"/>
      <c r="CX14" s="549"/>
      <c r="CY14" s="549"/>
      <c r="CZ14" s="549"/>
      <c r="DA14" s="550"/>
      <c r="DB14" s="65"/>
      <c r="DC14" s="65"/>
      <c r="DD14" s="548" t="s">
        <v>1523</v>
      </c>
      <c r="DE14" s="549"/>
      <c r="DF14" s="549"/>
      <c r="DG14" s="549"/>
      <c r="DH14" s="549"/>
      <c r="DI14" s="549"/>
      <c r="DJ14" s="549"/>
      <c r="DK14" s="549"/>
      <c r="DL14" s="549"/>
      <c r="DM14" s="549"/>
      <c r="DN14" s="550"/>
      <c r="DO14" s="65" t="s">
        <v>1258</v>
      </c>
      <c r="DP14" s="65" t="s">
        <v>1282</v>
      </c>
      <c r="DQ14" s="66" t="s">
        <v>1517</v>
      </c>
      <c r="DR14" s="67" t="str">
        <f>'Geo &amp; CIC Deployment Plan'!AG$15</f>
        <v>New GBS Associates Induction</v>
      </c>
      <c r="DS14" s="67" t="str">
        <f>'Geo &amp; CIC Deployment Plan'!AH$15</f>
        <v>Virtual</v>
      </c>
      <c r="DT14" s="67" t="str">
        <f>'Geo &amp; CIC Deployment Plan'!Z$15</f>
        <v>Complete</v>
      </c>
      <c r="DU14" s="67" t="str">
        <f>'Geo &amp; CIC Deployment Plan'!AB$15</f>
        <v>Complete</v>
      </c>
      <c r="DV14" s="67" t="str">
        <f>'Geo &amp; CIC Deployment Plan'!AD$15</f>
        <v>Planned</v>
      </c>
      <c r="DW14" s="67"/>
      <c r="DX14" s="67" t="str">
        <f>'Geo &amp; CIC Deployment Plan'!AE$15</f>
        <v>Planned</v>
      </c>
      <c r="DY14" s="67" t="str">
        <f>'Geo &amp; CIC Deployment Plan'!AF$15</f>
        <v>Planned</v>
      </c>
      <c r="DZ14" s="64">
        <f>'Geo &amp; CIC Deployment Plan'!V16</f>
        <v>51</v>
      </c>
      <c r="EA14" s="64"/>
      <c r="EB14" s="65"/>
      <c r="EC14" s="65"/>
      <c r="ED14" s="548" t="s">
        <v>1523</v>
      </c>
      <c r="EE14" s="549"/>
      <c r="EF14" s="549"/>
      <c r="EG14" s="549"/>
      <c r="EH14" s="549"/>
      <c r="EI14" s="549"/>
      <c r="EJ14" s="549"/>
      <c r="EK14" s="549"/>
      <c r="EL14" s="549"/>
      <c r="EM14" s="549"/>
      <c r="EN14" s="550"/>
      <c r="EO14" s="65"/>
      <c r="EP14" s="65"/>
      <c r="EQ14" s="65"/>
      <c r="ER14" s="65"/>
      <c r="ES14" s="65"/>
      <c r="ET14" s="65"/>
      <c r="EU14" s="65"/>
      <c r="EV14" s="65"/>
      <c r="EW14" s="65"/>
      <c r="EX14" s="65"/>
      <c r="EY14" s="65"/>
      <c r="EZ14" s="65"/>
      <c r="FA14" s="65"/>
      <c r="FC14" s="48"/>
      <c r="FD14" s="48"/>
      <c r="FE14" s="48"/>
      <c r="FF14" s="48"/>
      <c r="FG14" s="48"/>
      <c r="FH14" s="48"/>
      <c r="FI14" s="48"/>
      <c r="FJ14" s="48"/>
      <c r="FK14" s="48"/>
      <c r="FL14" s="48"/>
      <c r="FM14" s="48"/>
      <c r="FN14" s="48"/>
      <c r="FO14" s="48"/>
      <c r="FP14" s="48"/>
      <c r="FQ14" s="48"/>
      <c r="FR14" s="48"/>
      <c r="FS14" s="48"/>
      <c r="FT14" s="48"/>
      <c r="FU14" s="48"/>
      <c r="FV14" s="48"/>
      <c r="FX14" s="50"/>
      <c r="FY14" s="50"/>
      <c r="FZ14" s="50"/>
      <c r="GA14" s="50"/>
    </row>
    <row r="15" spans="2:185" ht="36">
      <c r="D15" s="548" t="s">
        <v>1460</v>
      </c>
      <c r="E15" s="549"/>
      <c r="F15" s="549"/>
      <c r="G15" s="549"/>
      <c r="H15" s="549"/>
      <c r="I15" s="549"/>
      <c r="J15" s="549"/>
      <c r="K15" s="549"/>
      <c r="L15" s="549"/>
      <c r="M15" s="549"/>
      <c r="N15" s="550"/>
      <c r="O15" s="65"/>
      <c r="P15" s="65"/>
      <c r="Q15" s="548" t="s">
        <v>1523</v>
      </c>
      <c r="R15" s="549"/>
      <c r="S15" s="549"/>
      <c r="T15" s="549"/>
      <c r="U15" s="549"/>
      <c r="V15" s="549"/>
      <c r="W15" s="549"/>
      <c r="X15" s="549"/>
      <c r="Y15" s="549"/>
      <c r="Z15" s="549"/>
      <c r="AA15" s="550"/>
      <c r="AB15" s="65"/>
      <c r="AC15" s="65"/>
      <c r="AD15" s="72"/>
      <c r="AE15" s="65"/>
      <c r="AF15" s="65"/>
      <c r="AG15" s="65"/>
      <c r="AH15" s="65"/>
      <c r="AI15" s="65"/>
      <c r="AJ15" s="65"/>
      <c r="AK15" s="65"/>
      <c r="AL15" s="65"/>
      <c r="AM15" s="65"/>
      <c r="AN15" s="65"/>
      <c r="AO15" s="65" t="s">
        <v>1452</v>
      </c>
      <c r="AP15" s="65" t="s">
        <v>1310</v>
      </c>
      <c r="AQ15" s="66" t="s">
        <v>1524</v>
      </c>
      <c r="AR15" s="64" t="str">
        <f>'Geo &amp; CIC Deployment Plan'!AG429</f>
        <v>New GBS Associates Induction</v>
      </c>
      <c r="AS15" s="64" t="str">
        <f>'Geo &amp; CIC Deployment Plan'!AH429</f>
        <v>Virtual</v>
      </c>
      <c r="AT15" s="64" t="str">
        <f>'Geo &amp; CIC Deployment Plan'!Z429</f>
        <v>Complete</v>
      </c>
      <c r="AU15" s="64" t="str">
        <f>'Geo &amp; CIC Deployment Plan'!AC429</f>
        <v>Complete</v>
      </c>
      <c r="AV15" s="64" t="str">
        <f>'Geo &amp; CIC Deployment Plan'!AD429</f>
        <v>Complete</v>
      </c>
      <c r="AW15" s="70">
        <v>0</v>
      </c>
      <c r="AX15" s="64" t="str">
        <f>'Geo &amp; CIC Deployment Plan'!AE429</f>
        <v>Planned</v>
      </c>
      <c r="AY15" s="64" t="str">
        <f>'Geo &amp; CIC Deployment Plan'!AF429</f>
        <v>Planned</v>
      </c>
      <c r="AZ15" s="64">
        <f>'Geo &amp; CIC Deployment Plan'!U429</f>
        <v>10</v>
      </c>
      <c r="BA15" s="64">
        <v>53</v>
      </c>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478" t="s">
        <v>1476</v>
      </c>
      <c r="CE15" s="479"/>
      <c r="CF15" s="479"/>
      <c r="CG15" s="479"/>
      <c r="CH15" s="479"/>
      <c r="CI15" s="479"/>
      <c r="CJ15" s="479"/>
      <c r="CK15" s="479"/>
      <c r="CL15" s="479"/>
      <c r="CM15" s="479"/>
      <c r="CN15" s="480"/>
      <c r="CO15" s="65" t="s">
        <v>1452</v>
      </c>
      <c r="CP15" s="65" t="s">
        <v>327</v>
      </c>
      <c r="CQ15" s="66" t="s">
        <v>1525</v>
      </c>
      <c r="CR15" s="67" t="str">
        <f>'Geo &amp; CIC Deployment Plan'!AG95</f>
        <v>New GBS Associates Induction</v>
      </c>
      <c r="CS15" s="67" t="str">
        <f>'Geo &amp; CIC Deployment Plan'!AH95</f>
        <v>Virtual</v>
      </c>
      <c r="CT15" s="67" t="str">
        <f>'Geo &amp; CIC Deployment Plan'!Z95</f>
        <v>Complete</v>
      </c>
      <c r="CU15" s="67" t="str">
        <f>'Geo &amp; CIC Deployment Plan'!AB95</f>
        <v>Complete</v>
      </c>
      <c r="CV15" s="67" t="str">
        <f>'Geo &amp; CIC Deployment Plan'!AD95</f>
        <v>In Progress</v>
      </c>
      <c r="CW15" s="67"/>
      <c r="CX15" s="67" t="str">
        <f>'Geo &amp; CIC Deployment Plan'!AE95</f>
        <v>Planned</v>
      </c>
      <c r="CY15" s="67" t="str">
        <f>'Geo &amp; CIC Deployment Plan'!AF95</f>
        <v>Planned</v>
      </c>
      <c r="CZ15" s="64">
        <f>'Geo &amp; CIC Deployment Plan'!U95</f>
        <v>46</v>
      </c>
      <c r="DA15" s="64"/>
      <c r="DB15" s="65" t="s">
        <v>1452</v>
      </c>
      <c r="DC15" s="65" t="s">
        <v>1526</v>
      </c>
      <c r="DD15" s="66" t="s">
        <v>1527</v>
      </c>
      <c r="DE15" s="67" t="str">
        <f>'Geo &amp; CIC Deployment Plan'!AG179</f>
        <v>New GBS Associates Induction</v>
      </c>
      <c r="DF15" s="67" t="str">
        <f>'Geo &amp; CIC Deployment Plan'!AH179</f>
        <v>Virtual</v>
      </c>
      <c r="DG15" s="67" t="str">
        <f>'Geo &amp; CIC Deployment Plan'!Z179</f>
        <v>Complete</v>
      </c>
      <c r="DH15" s="67" t="str">
        <f>'Geo &amp; CIC Deployment Plan'!AB179</f>
        <v>Complete</v>
      </c>
      <c r="DI15" s="67" t="str">
        <f>'Geo &amp; CIC Deployment Plan'!AD179</f>
        <v>Complete</v>
      </c>
      <c r="DJ15" s="67"/>
      <c r="DK15" s="67" t="str">
        <f>'Geo &amp; CIC Deployment Plan'!AE179</f>
        <v>Planned</v>
      </c>
      <c r="DL15" s="67" t="str">
        <f>'Geo &amp; CIC Deployment Plan'!AF179</f>
        <v>Planned</v>
      </c>
      <c r="DM15" s="64">
        <f>'Geo &amp; CIC Deployment Plan'!U179</f>
        <v>36</v>
      </c>
      <c r="DN15" s="64"/>
      <c r="DO15" s="65"/>
      <c r="DP15" s="65"/>
      <c r="DQ15" s="548" t="s">
        <v>1523</v>
      </c>
      <c r="DR15" s="549"/>
      <c r="DS15" s="549"/>
      <c r="DT15" s="549"/>
      <c r="DU15" s="549"/>
      <c r="DV15" s="549"/>
      <c r="DW15" s="549"/>
      <c r="DX15" s="549"/>
      <c r="DY15" s="549"/>
      <c r="DZ15" s="549"/>
      <c r="EA15" s="550"/>
      <c r="EB15" s="65" t="s">
        <v>1452</v>
      </c>
      <c r="EC15" s="65" t="s">
        <v>1526</v>
      </c>
      <c r="ED15" s="66" t="s">
        <v>1528</v>
      </c>
      <c r="EE15" s="67" t="str">
        <f>'Geo &amp; CIC Deployment Plan'!AG$176</f>
        <v>New GBS Associates Induction</v>
      </c>
      <c r="EF15" s="67" t="str">
        <f>'Geo &amp; CIC Deployment Plan'!AH$176</f>
        <v>Virtual</v>
      </c>
      <c r="EG15" s="67" t="str">
        <f>'Geo &amp; CIC Deployment Plan'!Z$176</f>
        <v>Complete</v>
      </c>
      <c r="EH15" s="67" t="str">
        <f>'Geo &amp; CIC Deployment Plan'!AB$176</f>
        <v>Complete</v>
      </c>
      <c r="EI15" s="67" t="str">
        <f>'Geo &amp; CIC Deployment Plan'!AD$176</f>
        <v>Planned</v>
      </c>
      <c r="EJ15" s="67"/>
      <c r="EK15" s="67" t="str">
        <f>'Geo &amp; CIC Deployment Plan'!AE$176</f>
        <v>Planned</v>
      </c>
      <c r="EL15" s="67" t="str">
        <f>'Geo &amp; CIC Deployment Plan'!AF$176</f>
        <v>Planned</v>
      </c>
      <c r="EM15" s="64">
        <f>'Geo &amp; CIC Deployment Plan'!U176</f>
        <v>25</v>
      </c>
      <c r="EN15" s="64"/>
      <c r="EO15" s="65"/>
      <c r="EP15" s="65"/>
      <c r="EQ15" s="65"/>
      <c r="ER15" s="65"/>
      <c r="ES15" s="65"/>
      <c r="ET15" s="65"/>
      <c r="EU15" s="65"/>
      <c r="EV15" s="65"/>
      <c r="EW15" s="65"/>
      <c r="EX15" s="65"/>
      <c r="EY15" s="65"/>
      <c r="EZ15" s="65"/>
      <c r="FA15" s="65"/>
      <c r="FC15" s="48"/>
      <c r="FD15" s="48"/>
      <c r="FE15" s="48"/>
      <c r="FF15" s="48"/>
      <c r="FG15" s="48"/>
      <c r="FH15" s="48"/>
      <c r="FI15" s="48"/>
      <c r="FJ15" s="48"/>
      <c r="FK15" s="48"/>
      <c r="FL15" s="48"/>
      <c r="FM15" s="48"/>
      <c r="FN15" s="48"/>
      <c r="FO15" s="48"/>
      <c r="FP15" s="48"/>
      <c r="FQ15" s="48"/>
      <c r="FR15" s="48"/>
      <c r="FS15" s="48"/>
      <c r="FT15" s="48"/>
      <c r="FU15" s="48"/>
      <c r="FV15" s="48"/>
      <c r="FX15" s="50"/>
      <c r="FY15" s="50"/>
      <c r="FZ15" s="50"/>
      <c r="GA15" s="50"/>
    </row>
    <row r="16" spans="2:185" ht="24">
      <c r="B16" s="27" t="s">
        <v>1258</v>
      </c>
      <c r="C16" s="26" t="s">
        <v>918</v>
      </c>
      <c r="D16" s="66" t="s">
        <v>1529</v>
      </c>
      <c r="E16" s="64" t="str">
        <f>'Geo &amp; CIC Deployment Plan'!AG366</f>
        <v>Legacy CIC</v>
      </c>
      <c r="F16" s="64" t="str">
        <f>'Geo &amp; CIC Deployment Plan'!AH366</f>
        <v>F2F</v>
      </c>
      <c r="G16" s="64" t="str">
        <f>'Geo &amp; CIC Deployment Plan'!Z366</f>
        <v>Complete</v>
      </c>
      <c r="H16" s="64" t="str">
        <f>'Geo &amp; CIC Deployment Plan'!AC366</f>
        <v>In Progress</v>
      </c>
      <c r="I16" s="64" t="str">
        <f>'Geo &amp; CIC Deployment Plan'!AD366</f>
        <v>Complete</v>
      </c>
      <c r="J16" s="64"/>
      <c r="K16" s="64" t="str">
        <f>'Geo &amp; CIC Deployment Plan'!AE366</f>
        <v>Planned</v>
      </c>
      <c r="L16" s="64" t="str">
        <f>'Geo &amp; CIC Deployment Plan'!AF366</f>
        <v>Planned</v>
      </c>
      <c r="M16" s="64">
        <f>'Geo &amp; CIC Deployment Plan'!V366</f>
        <v>4</v>
      </c>
      <c r="N16" s="64"/>
      <c r="O16" s="65" t="s">
        <v>1452</v>
      </c>
      <c r="P16" s="65" t="s">
        <v>1526</v>
      </c>
      <c r="Q16" s="66" t="s">
        <v>1530</v>
      </c>
      <c r="R16" s="64" t="str">
        <f>'Geo &amp; CIC Deployment Plan'!AG177</f>
        <v>Legacy Geo Europe</v>
      </c>
      <c r="S16" s="64" t="str">
        <f>'Geo &amp; CIC Deployment Plan'!AH177</f>
        <v>F2F</v>
      </c>
      <c r="T16" s="64" t="str">
        <f>'Geo &amp; CIC Deployment Plan'!Z177</f>
        <v>Complete</v>
      </c>
      <c r="U16" s="64" t="str">
        <f>'Geo &amp; CIC Deployment Plan'!AB177</f>
        <v>Complete</v>
      </c>
      <c r="V16" s="64" t="str">
        <f>'Geo &amp; CIC Deployment Plan'!AD177</f>
        <v>Complete</v>
      </c>
      <c r="W16" s="64"/>
      <c r="X16" s="64" t="str">
        <f>'Geo &amp; CIC Deployment Plan'!AE177</f>
        <v>Planned</v>
      </c>
      <c r="Y16" s="64" t="str">
        <f>'Geo &amp; CIC Deployment Plan'!AF177</f>
        <v>Planned</v>
      </c>
      <c r="Z16" s="64">
        <f>'Geo &amp; CIC Deployment Plan'!U177</f>
        <v>6</v>
      </c>
      <c r="AA16" s="64"/>
      <c r="AB16" s="65"/>
      <c r="AC16" s="65"/>
      <c r="AD16" s="73"/>
      <c r="AE16" s="65"/>
      <c r="AF16" s="65"/>
      <c r="AG16" s="65"/>
      <c r="AH16" s="65"/>
      <c r="AI16" s="65"/>
      <c r="AJ16" s="65"/>
      <c r="AK16" s="65"/>
      <c r="AL16" s="65"/>
      <c r="AM16" s="65"/>
      <c r="AN16" s="65"/>
      <c r="AO16" s="65" t="s">
        <v>1452</v>
      </c>
      <c r="AP16" s="65" t="s">
        <v>1531</v>
      </c>
      <c r="AQ16" s="66" t="s">
        <v>1532</v>
      </c>
      <c r="AR16" s="64" t="str">
        <f>'Geo &amp; CIC Deployment Plan'!AG464</f>
        <v>New GBS Associates Induction</v>
      </c>
      <c r="AS16" s="64" t="str">
        <f>'Geo &amp; CIC Deployment Plan'!AH464</f>
        <v>Virtual</v>
      </c>
      <c r="AT16" s="64" t="str">
        <f>'Geo &amp; CIC Deployment Plan'!Z464</f>
        <v>In Progress</v>
      </c>
      <c r="AU16" s="64">
        <f>'Geo &amp; CIC Deployment Plan'!AC464</f>
        <v>0</v>
      </c>
      <c r="AV16" s="64">
        <f>'Geo &amp; CIC Deployment Plan'!AD464</f>
        <v>0</v>
      </c>
      <c r="AW16" s="70">
        <v>0.33300000000000002</v>
      </c>
      <c r="AX16" s="64">
        <f>'Geo &amp; CIC Deployment Plan'!AE464</f>
        <v>0</v>
      </c>
      <c r="AY16" s="64">
        <f>'Geo &amp; CIC Deployment Plan'!AF464</f>
        <v>0</v>
      </c>
      <c r="AZ16" s="64">
        <f>'Geo &amp; CIC Deployment Plan'!U464</f>
        <v>24</v>
      </c>
      <c r="BA16" s="64">
        <v>63</v>
      </c>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t="s">
        <v>1452</v>
      </c>
      <c r="CC16" s="65" t="s">
        <v>1311</v>
      </c>
      <c r="CD16" s="66" t="s">
        <v>1533</v>
      </c>
      <c r="CE16" s="67" t="str">
        <f>'Geo &amp; CIC Deployment Plan'!AG465</f>
        <v>New GBS Associates Induction</v>
      </c>
      <c r="CF16" s="67" t="str">
        <f>'Geo &amp; CIC Deployment Plan'!AH465</f>
        <v>Virtual</v>
      </c>
      <c r="CG16" s="67">
        <f>'Geo &amp; CIC Deployment Plan'!Z465</f>
        <v>0</v>
      </c>
      <c r="CH16" s="67">
        <f>'Geo &amp; CIC Deployment Plan'!AB465</f>
        <v>0</v>
      </c>
      <c r="CI16" s="67">
        <f>'Geo &amp; CIC Deployment Plan'!AD465</f>
        <v>0</v>
      </c>
      <c r="CJ16" s="67"/>
      <c r="CK16" s="67">
        <f>'Geo &amp; CIC Deployment Plan'!AE465</f>
        <v>0</v>
      </c>
      <c r="CL16" s="67">
        <f>'Geo &amp; CIC Deployment Plan'!AF465</f>
        <v>0</v>
      </c>
      <c r="CM16" s="64">
        <f>'Geo &amp; CIC Deployment Plan'!U465</f>
        <v>2</v>
      </c>
      <c r="CN16" s="64"/>
      <c r="CO16" s="65"/>
      <c r="CP16" s="65"/>
      <c r="CQ16" s="548" t="s">
        <v>1523</v>
      </c>
      <c r="CR16" s="549"/>
      <c r="CS16" s="549"/>
      <c r="CT16" s="549"/>
      <c r="CU16" s="549"/>
      <c r="CV16" s="549"/>
      <c r="CW16" s="549"/>
      <c r="CX16" s="549"/>
      <c r="CY16" s="549"/>
      <c r="CZ16" s="549"/>
      <c r="DA16" s="550"/>
      <c r="DB16" s="65"/>
      <c r="DC16" s="65"/>
      <c r="DD16" s="548" t="s">
        <v>1440</v>
      </c>
      <c r="DE16" s="549"/>
      <c r="DF16" s="549"/>
      <c r="DG16" s="549"/>
      <c r="DH16" s="549"/>
      <c r="DI16" s="549"/>
      <c r="DJ16" s="549"/>
      <c r="DK16" s="549"/>
      <c r="DL16" s="549"/>
      <c r="DM16" s="549"/>
      <c r="DN16" s="550"/>
      <c r="DO16" s="65" t="s">
        <v>1452</v>
      </c>
      <c r="DP16" s="65" t="s">
        <v>1526</v>
      </c>
      <c r="DQ16" s="66" t="s">
        <v>1534</v>
      </c>
      <c r="DR16" s="67" t="str">
        <f>'Geo &amp; CIC Deployment Plan'!AG$181</f>
        <v>New GBS Associates Induction</v>
      </c>
      <c r="DS16" s="67" t="str">
        <f>'Geo &amp; CIC Deployment Plan'!AH$181</f>
        <v>Virtual</v>
      </c>
      <c r="DT16" s="67" t="str">
        <f>'Geo &amp; CIC Deployment Plan'!Z$181</f>
        <v>Complete</v>
      </c>
      <c r="DU16" s="67" t="str">
        <f>'Geo &amp; CIC Deployment Plan'!AB$181</f>
        <v>Complete</v>
      </c>
      <c r="DV16" s="67" t="str">
        <f>'Geo &amp; CIC Deployment Plan'!AD$181</f>
        <v>Planned</v>
      </c>
      <c r="DW16" s="67"/>
      <c r="DX16" s="67" t="str">
        <f>'Geo &amp; CIC Deployment Plan'!AE$181</f>
        <v>Planned</v>
      </c>
      <c r="DY16" s="67" t="str">
        <f>'Geo &amp; CIC Deployment Plan'!AF$181</f>
        <v>Planned</v>
      </c>
      <c r="DZ16" s="64">
        <f>'Geo &amp; CIC Deployment Plan'!U181</f>
        <v>56</v>
      </c>
      <c r="EA16" s="64"/>
      <c r="EB16" s="65"/>
      <c r="EC16" s="65"/>
      <c r="ED16" s="478" t="s">
        <v>1443</v>
      </c>
      <c r="EE16" s="479"/>
      <c r="EF16" s="479"/>
      <c r="EG16" s="479"/>
      <c r="EH16" s="479"/>
      <c r="EI16" s="479"/>
      <c r="EJ16" s="479"/>
      <c r="EK16" s="479"/>
      <c r="EL16" s="479"/>
      <c r="EM16" s="479"/>
      <c r="EN16" s="480"/>
      <c r="EO16" s="65"/>
      <c r="EP16" s="65"/>
      <c r="EQ16" s="65"/>
      <c r="ER16" s="65"/>
      <c r="ES16" s="65"/>
      <c r="ET16" s="65"/>
      <c r="EU16" s="65"/>
      <c r="EV16" s="65"/>
      <c r="EW16" s="65"/>
      <c r="EX16" s="65"/>
      <c r="EY16" s="65"/>
      <c r="EZ16" s="65"/>
      <c r="FA16" s="65"/>
      <c r="FC16" s="48"/>
      <c r="FD16" s="48"/>
      <c r="FE16" s="48"/>
      <c r="FF16" s="48"/>
      <c r="FG16" s="48"/>
      <c r="FH16" s="48"/>
      <c r="FI16" s="48"/>
      <c r="FJ16" s="48"/>
      <c r="FK16" s="48"/>
      <c r="FL16" s="48"/>
      <c r="FM16" s="48"/>
      <c r="FN16" s="48"/>
      <c r="FO16" s="48"/>
      <c r="FP16" s="48"/>
      <c r="FQ16" s="48"/>
      <c r="FR16" s="48"/>
      <c r="FS16" s="48"/>
      <c r="FT16" s="48"/>
      <c r="FU16" s="48"/>
      <c r="FV16" s="48"/>
      <c r="FX16" s="50"/>
      <c r="FY16" s="50"/>
      <c r="FZ16" s="50"/>
      <c r="GA16" s="50"/>
    </row>
    <row r="17" spans="4:185" ht="24" customHeight="1">
      <c r="D17" s="65"/>
      <c r="E17" s="65"/>
      <c r="F17" s="65"/>
      <c r="G17" s="65"/>
      <c r="H17" s="65"/>
      <c r="I17" s="65"/>
      <c r="J17" s="65"/>
      <c r="K17" s="65"/>
      <c r="L17" s="65"/>
      <c r="M17" s="65"/>
      <c r="N17" s="65"/>
      <c r="O17" s="65"/>
      <c r="P17" s="65"/>
      <c r="Q17" s="548" t="s">
        <v>1460</v>
      </c>
      <c r="R17" s="549"/>
      <c r="S17" s="549"/>
      <c r="T17" s="549"/>
      <c r="U17" s="549"/>
      <c r="V17" s="549"/>
      <c r="W17" s="549"/>
      <c r="X17" s="549"/>
      <c r="Y17" s="549"/>
      <c r="Z17" s="549"/>
      <c r="AA17" s="550"/>
      <c r="AB17" s="65"/>
      <c r="AC17" s="65"/>
      <c r="AD17" s="65"/>
      <c r="AE17" s="65"/>
      <c r="AF17" s="65"/>
      <c r="AG17" s="65"/>
      <c r="AH17" s="65"/>
      <c r="AI17" s="65"/>
      <c r="AJ17" s="65"/>
      <c r="AK17" s="65"/>
      <c r="AL17" s="65"/>
      <c r="AM17" s="65"/>
      <c r="AN17" s="65"/>
      <c r="AO17" s="65"/>
      <c r="AP17" s="65"/>
      <c r="AQ17" s="548" t="s">
        <v>1535</v>
      </c>
      <c r="AR17" s="549"/>
      <c r="AS17" s="549"/>
      <c r="AT17" s="549"/>
      <c r="AU17" s="549"/>
      <c r="AV17" s="549"/>
      <c r="AW17" s="549"/>
      <c r="AX17" s="549"/>
      <c r="AY17" s="549"/>
      <c r="AZ17" s="549"/>
      <c r="BA17" s="550"/>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478" t="s">
        <v>1460</v>
      </c>
      <c r="CE17" s="479"/>
      <c r="CF17" s="479"/>
      <c r="CG17" s="479"/>
      <c r="CH17" s="479"/>
      <c r="CI17" s="479"/>
      <c r="CJ17" s="479"/>
      <c r="CK17" s="479"/>
      <c r="CL17" s="479"/>
      <c r="CM17" s="479"/>
      <c r="CN17" s="480"/>
      <c r="CO17" s="65" t="s">
        <v>1452</v>
      </c>
      <c r="CP17" s="65" t="s">
        <v>1526</v>
      </c>
      <c r="CQ17" s="66" t="s">
        <v>1536</v>
      </c>
      <c r="CR17" s="67" t="str">
        <f>'Geo &amp; CIC Deployment Plan'!AG178</f>
        <v>New GBS Associates Induction</v>
      </c>
      <c r="CS17" s="67" t="str">
        <f>'Geo &amp; CIC Deployment Plan'!AH178</f>
        <v>Virtual</v>
      </c>
      <c r="CT17" s="67" t="str">
        <f>'Geo &amp; CIC Deployment Plan'!Z178</f>
        <v>Complete</v>
      </c>
      <c r="CU17" s="67" t="str">
        <f>'Geo &amp; CIC Deployment Plan'!AB178</f>
        <v>Complete</v>
      </c>
      <c r="CV17" s="67" t="str">
        <f>'Geo &amp; CIC Deployment Plan'!AD178</f>
        <v>Complete</v>
      </c>
      <c r="CW17" s="67"/>
      <c r="CX17" s="67" t="str">
        <f>'Geo &amp; CIC Deployment Plan'!AE178</f>
        <v>Planned</v>
      </c>
      <c r="CY17" s="67" t="str">
        <f>'Geo &amp; CIC Deployment Plan'!AF178</f>
        <v>Planned</v>
      </c>
      <c r="CZ17" s="64">
        <f>'Geo &amp; CIC Deployment Plan'!U178</f>
        <v>25</v>
      </c>
      <c r="DA17" s="64"/>
      <c r="DB17" s="65" t="s">
        <v>1258</v>
      </c>
      <c r="DC17" s="65" t="s">
        <v>1282</v>
      </c>
      <c r="DD17" s="66" t="s">
        <v>1537</v>
      </c>
      <c r="DE17" s="67" t="str">
        <f>'Geo &amp; CIC Deployment Plan'!AG14</f>
        <v>New GBS Associates Induction</v>
      </c>
      <c r="DF17" s="67" t="str">
        <f>'Geo &amp; CIC Deployment Plan'!AH14</f>
        <v>Virtual</v>
      </c>
      <c r="DG17" s="67" t="str">
        <f>'Geo &amp; CIC Deployment Plan'!Z14</f>
        <v>Complete</v>
      </c>
      <c r="DH17" s="67" t="str">
        <f>'Geo &amp; CIC Deployment Plan'!AB14</f>
        <v>Complete</v>
      </c>
      <c r="DI17" s="67" t="str">
        <f>'Geo &amp; CIC Deployment Plan'!AD14</f>
        <v>In Progress</v>
      </c>
      <c r="DJ17" s="67"/>
      <c r="DK17" s="67" t="str">
        <f>'Geo &amp; CIC Deployment Plan'!AE14</f>
        <v>Planned</v>
      </c>
      <c r="DL17" s="67" t="str">
        <f>'Geo &amp; CIC Deployment Plan'!AF14</f>
        <v>Planned</v>
      </c>
      <c r="DM17" s="64">
        <f>'Geo &amp; CIC Deployment Plan'!V14</f>
        <v>105</v>
      </c>
      <c r="DN17" s="64"/>
      <c r="DO17" s="65"/>
      <c r="DP17" s="65"/>
      <c r="DQ17" s="548" t="s">
        <v>1443</v>
      </c>
      <c r="DR17" s="549"/>
      <c r="DS17" s="549"/>
      <c r="DT17" s="549"/>
      <c r="DU17" s="549"/>
      <c r="DV17" s="549"/>
      <c r="DW17" s="549"/>
      <c r="DX17" s="549"/>
      <c r="DY17" s="549"/>
      <c r="DZ17" s="549"/>
      <c r="EA17" s="550"/>
      <c r="EB17" s="65" t="s">
        <v>1258</v>
      </c>
      <c r="EC17" s="65" t="s">
        <v>1286</v>
      </c>
      <c r="ED17" s="66" t="s">
        <v>1538</v>
      </c>
      <c r="EE17" s="67" t="str">
        <f>'Geo &amp; CIC Deployment Plan'!AG$257</f>
        <v>New GBS Associates Induction</v>
      </c>
      <c r="EF17" s="67" t="str">
        <f>'Geo &amp; CIC Deployment Plan'!AH$257</f>
        <v>Virtual</v>
      </c>
      <c r="EG17" s="67" t="str">
        <f>'Geo &amp; CIC Deployment Plan'!Z$257</f>
        <v>Complete</v>
      </c>
      <c r="EH17" s="67" t="str">
        <f>'Geo &amp; CIC Deployment Plan'!AB$257</f>
        <v>Complete</v>
      </c>
      <c r="EI17" s="67" t="str">
        <f>'Geo &amp; CIC Deployment Plan'!AD$257</f>
        <v>Tentative</v>
      </c>
      <c r="EJ17" s="67"/>
      <c r="EK17" s="67" t="str">
        <f>'Geo &amp; CIC Deployment Plan'!AE$257</f>
        <v>Tentative</v>
      </c>
      <c r="EL17" s="67" t="str">
        <f>'Geo &amp; CIC Deployment Plan'!AF$257</f>
        <v>Tentative</v>
      </c>
      <c r="EM17" s="64">
        <f>'Geo &amp; CIC Deployment Plan'!V257</f>
        <v>17</v>
      </c>
      <c r="EN17" s="64"/>
      <c r="EO17" s="65"/>
      <c r="EP17" s="65"/>
      <c r="EQ17" s="65"/>
      <c r="ER17" s="65"/>
      <c r="ES17" s="65"/>
      <c r="ET17" s="65"/>
      <c r="EU17" s="65"/>
      <c r="EV17" s="65"/>
      <c r="EW17" s="65"/>
      <c r="EX17" s="65"/>
      <c r="EY17" s="65"/>
      <c r="EZ17" s="65"/>
      <c r="FA17" s="65"/>
      <c r="FC17" s="48"/>
      <c r="FD17" s="48"/>
      <c r="FE17" s="48"/>
      <c r="FF17" s="48"/>
      <c r="FG17" s="48"/>
      <c r="FH17" s="48"/>
      <c r="FI17" s="48"/>
      <c r="FJ17" s="48"/>
      <c r="FK17" s="48"/>
      <c r="FL17" s="48"/>
      <c r="FM17" s="48"/>
      <c r="FN17" s="48"/>
      <c r="FO17" s="48"/>
      <c r="FP17" s="48"/>
      <c r="FQ17" s="48"/>
      <c r="FR17" s="48"/>
      <c r="FS17" s="48"/>
      <c r="FT17" s="48"/>
      <c r="FU17" s="48"/>
      <c r="FV17" s="48"/>
      <c r="FX17" s="50"/>
      <c r="FY17" s="50"/>
      <c r="FZ17" s="50"/>
      <c r="GA17" s="50"/>
    </row>
    <row r="18" spans="4:185" ht="24" customHeight="1">
      <c r="D18" s="65"/>
      <c r="E18" s="65"/>
      <c r="F18" s="65"/>
      <c r="G18" s="65"/>
      <c r="H18" s="65"/>
      <c r="I18" s="65"/>
      <c r="J18" s="65"/>
      <c r="K18" s="65"/>
      <c r="L18" s="65"/>
      <c r="M18" s="65"/>
      <c r="N18" s="65"/>
      <c r="O18" s="65" t="s">
        <v>1258</v>
      </c>
      <c r="P18" s="65" t="s">
        <v>918</v>
      </c>
      <c r="Q18" s="66" t="s">
        <v>1539</v>
      </c>
      <c r="R18" s="64" t="str">
        <f>'Geo &amp; CIC Deployment Plan'!AG370</f>
        <v>Legacy CIC</v>
      </c>
      <c r="S18" s="64" t="str">
        <f>'Geo &amp; CIC Deployment Plan'!AH370</f>
        <v>F2F</v>
      </c>
      <c r="T18" s="64" t="str">
        <f>'Geo &amp; CIC Deployment Plan'!Z370</f>
        <v>Complete</v>
      </c>
      <c r="U18" s="64" t="str">
        <f>'Geo &amp; CIC Deployment Plan'!AC370</f>
        <v>In Progress</v>
      </c>
      <c r="V18" s="64" t="str">
        <f>'Geo &amp; CIC Deployment Plan'!AD370</f>
        <v>Complete</v>
      </c>
      <c r="W18" s="64"/>
      <c r="X18" s="64" t="str">
        <f>'Geo &amp; CIC Deployment Plan'!AE370</f>
        <v>Planned</v>
      </c>
      <c r="Y18" s="64" t="str">
        <f>'Geo &amp; CIC Deployment Plan'!AF370</f>
        <v>Planned</v>
      </c>
      <c r="Z18" s="69">
        <f>'Geo &amp; CIC Deployment Plan'!V370</f>
        <v>4</v>
      </c>
      <c r="AA18" s="69"/>
      <c r="AB18" s="65"/>
      <c r="AC18" s="65"/>
      <c r="AD18" s="65"/>
      <c r="AE18" s="65"/>
      <c r="AF18" s="65"/>
      <c r="AG18" s="65"/>
      <c r="AH18" s="65"/>
      <c r="AI18" s="65"/>
      <c r="AJ18" s="65"/>
      <c r="AK18" s="65"/>
      <c r="AL18" s="65"/>
      <c r="AM18" s="65"/>
      <c r="AN18" s="65"/>
      <c r="AO18" s="65" t="s">
        <v>1452</v>
      </c>
      <c r="AP18" s="65" t="s">
        <v>1535</v>
      </c>
      <c r="AQ18" s="66" t="s">
        <v>383</v>
      </c>
      <c r="AR18" s="64" t="e">
        <f>'Geo &amp; CIC Deployment Plan'!#REF!</f>
        <v>#REF!</v>
      </c>
      <c r="AS18" s="64" t="e">
        <f>'Geo &amp; CIC Deployment Plan'!#REF!</f>
        <v>#REF!</v>
      </c>
      <c r="AT18" s="64" t="e">
        <f>'Geo &amp; CIC Deployment Plan'!#REF!</f>
        <v>#REF!</v>
      </c>
      <c r="AU18" s="64" t="e">
        <f>'Geo &amp; CIC Deployment Plan'!#REF!</f>
        <v>#REF!</v>
      </c>
      <c r="AV18" s="64" t="e">
        <f>'Geo &amp; CIC Deployment Plan'!#REF!</f>
        <v>#REF!</v>
      </c>
      <c r="AW18" s="70"/>
      <c r="AX18" s="64" t="e">
        <f>'Geo &amp; CIC Deployment Plan'!#REF!</f>
        <v>#REF!</v>
      </c>
      <c r="AY18" s="64" t="e">
        <f>'Geo &amp; CIC Deployment Plan'!#REF!</f>
        <v>#REF!</v>
      </c>
      <c r="AZ18" s="64" t="e">
        <f>'Geo &amp; CIC Deployment Plan'!#REF!</f>
        <v>#REF!</v>
      </c>
      <c r="BA18" s="64"/>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t="s">
        <v>1258</v>
      </c>
      <c r="CC18" s="65" t="s">
        <v>918</v>
      </c>
      <c r="CD18" s="66" t="s">
        <v>1540</v>
      </c>
      <c r="CE18" s="67" t="str">
        <f>'Geo &amp; CIC Deployment Plan'!AG377</f>
        <v>New GBS Associates Induction</v>
      </c>
      <c r="CF18" s="67" t="str">
        <f>'Geo &amp; CIC Deployment Plan'!AH377</f>
        <v>Virtual</v>
      </c>
      <c r="CG18" s="67" t="str">
        <f>'Geo &amp; CIC Deployment Plan'!Z377</f>
        <v>Complete</v>
      </c>
      <c r="CH18" s="67" t="str">
        <f>'Geo &amp; CIC Deployment Plan'!AB377</f>
        <v>Complete</v>
      </c>
      <c r="CI18" s="67" t="str">
        <f>'Geo &amp; CIC Deployment Plan'!AD377</f>
        <v>Complete</v>
      </c>
      <c r="CJ18" s="67"/>
      <c r="CK18" s="67" t="str">
        <f>'Geo &amp; CIC Deployment Plan'!AE377</f>
        <v>Planned</v>
      </c>
      <c r="CL18" s="67" t="str">
        <f>'Geo &amp; CIC Deployment Plan'!AF377</f>
        <v>Planned</v>
      </c>
      <c r="CM18" s="64">
        <f>'Geo &amp; CIC Deployment Plan'!V377</f>
        <v>39</v>
      </c>
      <c r="CN18" s="64"/>
      <c r="CO18" s="65"/>
      <c r="CP18" s="65"/>
      <c r="CQ18" s="548" t="s">
        <v>1541</v>
      </c>
      <c r="CR18" s="549"/>
      <c r="CS18" s="549"/>
      <c r="CT18" s="549"/>
      <c r="CU18" s="549"/>
      <c r="CV18" s="549"/>
      <c r="CW18" s="549"/>
      <c r="CX18" s="549"/>
      <c r="CY18" s="549"/>
      <c r="CZ18" s="549"/>
      <c r="DA18" s="550"/>
      <c r="DB18" s="65" t="s">
        <v>1258</v>
      </c>
      <c r="DC18" s="65" t="s">
        <v>1282</v>
      </c>
      <c r="DD18" s="66" t="s">
        <v>1537</v>
      </c>
      <c r="DE18" s="67" t="e">
        <f>'Geo &amp; CIC Deployment Plan'!#REF!</f>
        <v>#REF!</v>
      </c>
      <c r="DF18" s="67" t="e">
        <f>'Geo &amp; CIC Deployment Plan'!#REF!</f>
        <v>#REF!</v>
      </c>
      <c r="DG18" s="67" t="e">
        <f>'Geo &amp; CIC Deployment Plan'!#REF!</f>
        <v>#REF!</v>
      </c>
      <c r="DH18" s="67" t="e">
        <f>'Geo &amp; CIC Deployment Plan'!#REF!</f>
        <v>#REF!</v>
      </c>
      <c r="DI18" s="67" t="e">
        <f>'Geo &amp; CIC Deployment Plan'!#REF!</f>
        <v>#REF!</v>
      </c>
      <c r="DJ18" s="67"/>
      <c r="DK18" s="67" t="e">
        <f>'Geo &amp; CIC Deployment Plan'!#REF!</f>
        <v>#REF!</v>
      </c>
      <c r="DL18" s="67" t="e">
        <f>'Geo &amp; CIC Deployment Plan'!#REF!</f>
        <v>#REF!</v>
      </c>
      <c r="DM18" s="64" t="e">
        <f>'Geo &amp; CIC Deployment Plan'!#REF!</f>
        <v>#REF!</v>
      </c>
      <c r="DN18" s="64"/>
      <c r="DO18" s="65" t="s">
        <v>1258</v>
      </c>
      <c r="DP18" s="65" t="s">
        <v>1286</v>
      </c>
      <c r="DQ18" s="66" t="s">
        <v>1542</v>
      </c>
      <c r="DR18" s="67" t="str">
        <f>'Geo &amp; CIC Deployment Plan'!AG$254</f>
        <v>New GBS Associates Induction</v>
      </c>
      <c r="DS18" s="67" t="str">
        <f>'Geo &amp; CIC Deployment Plan'!AH$254</f>
        <v>Virtual</v>
      </c>
      <c r="DT18" s="67" t="str">
        <f>'Geo &amp; CIC Deployment Plan'!Z$254</f>
        <v>Complete</v>
      </c>
      <c r="DU18" s="67" t="str">
        <f>'Geo &amp; CIC Deployment Plan'!AB$254</f>
        <v>Complete</v>
      </c>
      <c r="DV18" s="67" t="str">
        <f>'Geo &amp; CIC Deployment Plan'!AD$254</f>
        <v>Tentative</v>
      </c>
      <c r="DW18" s="67"/>
      <c r="DX18" s="67" t="str">
        <f>'Geo &amp; CIC Deployment Plan'!AE$254</f>
        <v>Tentative</v>
      </c>
      <c r="DY18" s="67" t="str">
        <f>'Geo &amp; CIC Deployment Plan'!AF$254</f>
        <v>Tentative</v>
      </c>
      <c r="DZ18" s="64">
        <f>'Geo &amp; CIC Deployment Plan'!V254</f>
        <v>36</v>
      </c>
      <c r="EA18" s="64"/>
      <c r="EB18" s="65" t="s">
        <v>1258</v>
      </c>
      <c r="EC18" s="65" t="s">
        <v>1286</v>
      </c>
      <c r="ED18" s="66" t="s">
        <v>1543</v>
      </c>
      <c r="EE18" s="67" t="str">
        <f>'Geo &amp; CIC Deployment Plan'!AG$258</f>
        <v>New GBS Associates Induction</v>
      </c>
      <c r="EF18" s="67" t="str">
        <f>'Geo &amp; CIC Deployment Plan'!AH$258</f>
        <v>Virtual</v>
      </c>
      <c r="EG18" s="67" t="str">
        <f>'Geo &amp; CIC Deployment Plan'!Z$258</f>
        <v>Complete</v>
      </c>
      <c r="EH18" s="67" t="str">
        <f>'Geo &amp; CIC Deployment Plan'!AB$258</f>
        <v>Complete</v>
      </c>
      <c r="EI18" s="67" t="str">
        <f>'Geo &amp; CIC Deployment Plan'!AD$258</f>
        <v>Tentative</v>
      </c>
      <c r="EJ18" s="67"/>
      <c r="EK18" s="67" t="str">
        <f>'Geo &amp; CIC Deployment Plan'!AE$258</f>
        <v>Tentative</v>
      </c>
      <c r="EL18" s="67" t="str">
        <f>'Geo &amp; CIC Deployment Plan'!AF$258</f>
        <v>Tentative</v>
      </c>
      <c r="EM18" s="64">
        <f>'Geo &amp; CIC Deployment Plan'!V258</f>
        <v>38</v>
      </c>
      <c r="EN18" s="64"/>
      <c r="EO18" s="65"/>
      <c r="EP18" s="65"/>
      <c r="EQ18" s="65"/>
      <c r="ER18" s="65"/>
      <c r="ES18" s="65"/>
      <c r="ET18" s="65"/>
      <c r="EU18" s="65"/>
      <c r="EV18" s="65"/>
      <c r="EW18" s="65"/>
      <c r="EX18" s="65"/>
      <c r="EY18" s="65"/>
      <c r="EZ18" s="65"/>
      <c r="FA18" s="65"/>
      <c r="FC18" s="48"/>
      <c r="FD18" s="48"/>
      <c r="FE18" s="48"/>
      <c r="FF18" s="48"/>
      <c r="FG18" s="48"/>
      <c r="FH18" s="48"/>
      <c r="FI18" s="48"/>
      <c r="FJ18" s="48"/>
      <c r="FK18" s="48"/>
      <c r="FL18" s="48"/>
      <c r="FM18" s="48"/>
      <c r="FN18" s="48"/>
      <c r="FO18" s="48"/>
      <c r="FP18" s="48"/>
      <c r="FQ18" s="48"/>
      <c r="FR18" s="48"/>
      <c r="FS18" s="48"/>
      <c r="FT18" s="48"/>
      <c r="FU18" s="48"/>
      <c r="FV18" s="48"/>
      <c r="FX18" s="50"/>
      <c r="FY18" s="50"/>
      <c r="FZ18" s="50"/>
      <c r="GA18" s="50"/>
    </row>
    <row r="19" spans="4:185" ht="36">
      <c r="D19" s="65"/>
      <c r="E19" s="65"/>
      <c r="F19" s="65"/>
      <c r="G19" s="65"/>
      <c r="H19" s="65"/>
      <c r="I19" s="65"/>
      <c r="J19" s="65"/>
      <c r="K19" s="65"/>
      <c r="L19" s="65"/>
      <c r="M19" s="65"/>
      <c r="N19" s="65"/>
      <c r="O19" s="65" t="s">
        <v>1258</v>
      </c>
      <c r="P19" s="65" t="s">
        <v>918</v>
      </c>
      <c r="Q19" s="66" t="s">
        <v>1544</v>
      </c>
      <c r="R19" s="64" t="str">
        <f>'Geo &amp; CIC Deployment Plan'!AG371</f>
        <v>Legacy CIC</v>
      </c>
      <c r="S19" s="64" t="str">
        <f>'Geo &amp; CIC Deployment Plan'!AH371</f>
        <v>F2F</v>
      </c>
      <c r="T19" s="64" t="str">
        <f>'Geo &amp; CIC Deployment Plan'!Z371</f>
        <v>Complete</v>
      </c>
      <c r="U19" s="64" t="str">
        <f>'Geo &amp; CIC Deployment Plan'!AC371</f>
        <v>In Progress</v>
      </c>
      <c r="V19" s="64" t="str">
        <f>'Geo &amp; CIC Deployment Plan'!AD371</f>
        <v>Complete</v>
      </c>
      <c r="W19" s="64"/>
      <c r="X19" s="64" t="str">
        <f>'Geo &amp; CIC Deployment Plan'!AE371</f>
        <v>Planned</v>
      </c>
      <c r="Y19" s="64" t="str">
        <f>'Geo &amp; CIC Deployment Plan'!AF371</f>
        <v>Planned</v>
      </c>
      <c r="Z19" s="69">
        <f>'Geo &amp; CIC Deployment Plan'!V371</f>
        <v>2</v>
      </c>
      <c r="AA19" s="69"/>
      <c r="AB19" s="65"/>
      <c r="AC19" s="65"/>
      <c r="AD19" s="65"/>
      <c r="AE19" s="65"/>
      <c r="AF19" s="65"/>
      <c r="AG19" s="65"/>
      <c r="AH19" s="65"/>
      <c r="AI19" s="65"/>
      <c r="AJ19" s="65"/>
      <c r="AK19" s="65"/>
      <c r="AL19" s="65"/>
      <c r="AM19" s="65"/>
      <c r="AN19" s="65"/>
      <c r="AO19" s="65"/>
      <c r="AP19" s="65"/>
      <c r="AQ19" s="73"/>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548" t="s">
        <v>1443</v>
      </c>
      <c r="CE19" s="549"/>
      <c r="CF19" s="549"/>
      <c r="CG19" s="549"/>
      <c r="CH19" s="549"/>
      <c r="CI19" s="549"/>
      <c r="CJ19" s="549"/>
      <c r="CK19" s="549"/>
      <c r="CL19" s="549"/>
      <c r="CM19" s="549"/>
      <c r="CN19" s="550"/>
      <c r="CO19" s="65" t="s">
        <v>1452</v>
      </c>
      <c r="CP19" s="65" t="s">
        <v>1159</v>
      </c>
      <c r="CQ19" s="66" t="s">
        <v>1545</v>
      </c>
      <c r="CR19" s="67" t="str">
        <f>'Geo &amp; CIC Deployment Plan'!AG494</f>
        <v>New GBS Associates Induction</v>
      </c>
      <c r="CS19" s="67" t="str">
        <f>'Geo &amp; CIC Deployment Plan'!AH494</f>
        <v>Virtual</v>
      </c>
      <c r="CT19" s="67" t="str">
        <f>'Geo &amp; CIC Deployment Plan'!Z494</f>
        <v>Complete</v>
      </c>
      <c r="CU19" s="67" t="str">
        <f>'Geo &amp; CIC Deployment Plan'!AB494</f>
        <v>Complete</v>
      </c>
      <c r="CV19" s="67" t="str">
        <f>'Geo &amp; CIC Deployment Plan'!AD494</f>
        <v>Tentative</v>
      </c>
      <c r="CW19" s="67"/>
      <c r="CX19" s="67" t="str">
        <f>'Geo &amp; CIC Deployment Plan'!AE494</f>
        <v>Planned</v>
      </c>
      <c r="CY19" s="67" t="str">
        <f>'Geo &amp; CIC Deployment Plan'!AF494</f>
        <v>Planned</v>
      </c>
      <c r="CZ19" s="64">
        <f>'Geo &amp; CIC Deployment Plan'!U494</f>
        <v>13</v>
      </c>
      <c r="DA19" s="64"/>
      <c r="DB19" s="65"/>
      <c r="DC19" s="65"/>
      <c r="DD19" s="548" t="s">
        <v>1443</v>
      </c>
      <c r="DE19" s="549"/>
      <c r="DF19" s="549"/>
      <c r="DG19" s="549"/>
      <c r="DH19" s="549"/>
      <c r="DI19" s="549"/>
      <c r="DJ19" s="549"/>
      <c r="DK19" s="549"/>
      <c r="DL19" s="549"/>
      <c r="DM19" s="549"/>
      <c r="DN19" s="550"/>
      <c r="DO19" s="65" t="s">
        <v>1258</v>
      </c>
      <c r="DP19" s="65" t="s">
        <v>1286</v>
      </c>
      <c r="DQ19" s="66" t="s">
        <v>1546</v>
      </c>
      <c r="DR19" s="67" t="str">
        <f>'Geo &amp; CIC Deployment Plan'!AG$255</f>
        <v>New GBS Associates Induction</v>
      </c>
      <c r="DS19" s="67" t="str">
        <f>'Geo &amp; CIC Deployment Plan'!AH$255</f>
        <v>Virtual</v>
      </c>
      <c r="DT19" s="67" t="str">
        <f>'Geo &amp; CIC Deployment Plan'!Z$255</f>
        <v>Complete</v>
      </c>
      <c r="DU19" s="67" t="str">
        <f>'Geo &amp; CIC Deployment Plan'!AB$255</f>
        <v>Complete</v>
      </c>
      <c r="DV19" s="67" t="str">
        <f>'Geo &amp; CIC Deployment Plan'!AD$255</f>
        <v>Tentative</v>
      </c>
      <c r="DW19" s="67"/>
      <c r="DX19" s="67" t="str">
        <f>'Geo &amp; CIC Deployment Plan'!AE$255</f>
        <v>Tentative</v>
      </c>
      <c r="DY19" s="67" t="str">
        <f>'Geo &amp; CIC Deployment Plan'!AF$255</f>
        <v>Tentative</v>
      </c>
      <c r="DZ19" s="64">
        <f>'Geo &amp; CIC Deployment Plan'!V255</f>
        <v>12</v>
      </c>
      <c r="EA19" s="64"/>
      <c r="EO19" s="65"/>
      <c r="EP19" s="65"/>
      <c r="EQ19" s="65"/>
      <c r="ER19" s="65"/>
      <c r="ES19" s="65"/>
      <c r="ET19" s="65"/>
      <c r="EU19" s="65"/>
      <c r="EV19" s="65"/>
      <c r="EW19" s="65"/>
      <c r="EX19" s="65"/>
      <c r="EY19" s="65"/>
      <c r="EZ19" s="65"/>
      <c r="FA19" s="65"/>
      <c r="FC19" s="48"/>
      <c r="FD19" s="48"/>
      <c r="FE19" s="48"/>
      <c r="FF19" s="48"/>
      <c r="FG19" s="48"/>
      <c r="FH19" s="48"/>
      <c r="FI19" s="48"/>
      <c r="FJ19" s="48"/>
      <c r="FK19" s="48"/>
      <c r="FL19" s="48"/>
      <c r="FM19" s="48"/>
      <c r="FN19" s="48"/>
      <c r="FO19" s="48"/>
      <c r="FP19" s="48"/>
      <c r="FQ19" s="48"/>
      <c r="FR19" s="48"/>
      <c r="FS19" s="48"/>
      <c r="FT19" s="48"/>
      <c r="FU19" s="48"/>
      <c r="FV19" s="48"/>
      <c r="FX19" s="50"/>
      <c r="FY19" s="50"/>
      <c r="FZ19" s="50"/>
      <c r="GA19" s="50"/>
    </row>
    <row r="20" spans="4:185" ht="24">
      <c r="D20" s="65"/>
      <c r="E20" s="65"/>
      <c r="F20" s="65"/>
      <c r="G20" s="65"/>
      <c r="H20" s="65"/>
      <c r="I20" s="65"/>
      <c r="J20" s="65"/>
      <c r="K20" s="65"/>
      <c r="L20" s="65"/>
      <c r="M20" s="65"/>
      <c r="N20" s="65"/>
      <c r="O20" s="65"/>
      <c r="P20" s="65"/>
      <c r="Q20" s="548" t="s">
        <v>1441</v>
      </c>
      <c r="R20" s="549"/>
      <c r="S20" s="549"/>
      <c r="T20" s="549"/>
      <c r="U20" s="549"/>
      <c r="V20" s="549"/>
      <c r="W20" s="549"/>
      <c r="X20" s="549"/>
      <c r="Y20" s="549"/>
      <c r="Z20" s="549"/>
      <c r="AA20" s="550"/>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t="s">
        <v>1258</v>
      </c>
      <c r="CC20" s="65" t="s">
        <v>1286</v>
      </c>
      <c r="CD20" s="66" t="s">
        <v>1547</v>
      </c>
      <c r="CE20" s="67" t="str">
        <f>'Geo &amp; CIC Deployment Plan'!AG247</f>
        <v>New GBS Associates Induction</v>
      </c>
      <c r="CF20" s="67" t="str">
        <f>'Geo &amp; CIC Deployment Plan'!AH247</f>
        <v>Virtual</v>
      </c>
      <c r="CG20" s="67" t="str">
        <f>'Geo &amp; CIC Deployment Plan'!Z247</f>
        <v>Complete</v>
      </c>
      <c r="CH20" s="67" t="str">
        <f>'Geo &amp; CIC Deployment Plan'!AB247</f>
        <v>Complete</v>
      </c>
      <c r="CI20" s="67" t="str">
        <f>'Geo &amp; CIC Deployment Plan'!AD247</f>
        <v>In Progress</v>
      </c>
      <c r="CJ20" s="67"/>
      <c r="CK20" s="67" t="str">
        <f>'Geo &amp; CIC Deployment Plan'!AE247</f>
        <v>Planned</v>
      </c>
      <c r="CL20" s="67" t="str">
        <f>'Geo &amp; CIC Deployment Plan'!AF247</f>
        <v>Planned</v>
      </c>
      <c r="CM20" s="64">
        <f>'Geo &amp; CIC Deployment Plan'!V247</f>
        <v>13</v>
      </c>
      <c r="CN20" s="64"/>
      <c r="CO20" s="65"/>
      <c r="CP20" s="65"/>
      <c r="CQ20" s="548" t="s">
        <v>1440</v>
      </c>
      <c r="CR20" s="549"/>
      <c r="CS20" s="549"/>
      <c r="CT20" s="549"/>
      <c r="CU20" s="549"/>
      <c r="CV20" s="549"/>
      <c r="CW20" s="549"/>
      <c r="CX20" s="549"/>
      <c r="CY20" s="549"/>
      <c r="CZ20" s="549"/>
      <c r="DA20" s="550"/>
      <c r="DB20" s="65" t="s">
        <v>1258</v>
      </c>
      <c r="DC20" s="65" t="s">
        <v>1286</v>
      </c>
      <c r="DD20" s="66" t="s">
        <v>1548</v>
      </c>
      <c r="DE20" s="67" t="str">
        <f>'Geo &amp; CIC Deployment Plan'!AG251</f>
        <v>New GBS Associates Induction</v>
      </c>
      <c r="DF20" s="67" t="str">
        <f>'Geo &amp; CIC Deployment Plan'!AH251</f>
        <v>Virtual</v>
      </c>
      <c r="DG20" s="67" t="str">
        <f>'Geo &amp; CIC Deployment Plan'!Z251</f>
        <v>Complete</v>
      </c>
      <c r="DH20" s="67" t="str">
        <f>'Geo &amp; CIC Deployment Plan'!AB251</f>
        <v>Complete</v>
      </c>
      <c r="DI20" s="67" t="str">
        <f>'Geo &amp; CIC Deployment Plan'!AD251</f>
        <v>In Progress</v>
      </c>
      <c r="DJ20" s="67"/>
      <c r="DK20" s="67" t="str">
        <f>'Geo &amp; CIC Deployment Plan'!AE251</f>
        <v>Tentative</v>
      </c>
      <c r="DL20" s="67" t="str">
        <f>'Geo &amp; CIC Deployment Plan'!AF251</f>
        <v>Tentative</v>
      </c>
      <c r="DM20" s="64">
        <f>'Geo &amp; CIC Deployment Plan'!V251</f>
        <v>3</v>
      </c>
      <c r="DN20" s="64"/>
      <c r="DO20" s="65"/>
      <c r="DP20" s="65"/>
      <c r="DQ20" s="548" t="s">
        <v>1481</v>
      </c>
      <c r="DR20" s="549"/>
      <c r="DS20" s="549"/>
      <c r="DT20" s="549"/>
      <c r="DU20" s="549"/>
      <c r="DV20" s="549"/>
      <c r="DW20" s="549"/>
      <c r="DX20" s="549"/>
      <c r="DY20" s="549"/>
      <c r="DZ20" s="549"/>
      <c r="EA20" s="550"/>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C20" s="48"/>
      <c r="FD20" s="48"/>
      <c r="FE20" s="48"/>
      <c r="FF20" s="48"/>
      <c r="FG20" s="48"/>
      <c r="FH20" s="48"/>
      <c r="FI20" s="48"/>
      <c r="FJ20" s="48"/>
      <c r="FK20" s="48"/>
      <c r="FL20" s="48"/>
      <c r="FM20" s="48"/>
      <c r="FN20" s="48"/>
      <c r="FO20" s="48"/>
      <c r="FP20" s="48"/>
      <c r="FQ20" s="48"/>
      <c r="FR20" s="48"/>
      <c r="FS20" s="48"/>
      <c r="FT20" s="48"/>
      <c r="FU20" s="48"/>
      <c r="FV20" s="48"/>
      <c r="FX20" s="50"/>
      <c r="FY20" s="50"/>
      <c r="FZ20" s="50"/>
      <c r="GA20" s="50"/>
    </row>
    <row r="21" spans="4:185" ht="36">
      <c r="D21" s="65"/>
      <c r="E21" s="65"/>
      <c r="F21" s="65"/>
      <c r="G21" s="65"/>
      <c r="H21" s="65"/>
      <c r="I21" s="65"/>
      <c r="J21" s="65"/>
      <c r="K21" s="65"/>
      <c r="L21" s="65"/>
      <c r="M21" s="65"/>
      <c r="N21" s="65"/>
      <c r="O21" s="65" t="s">
        <v>1258</v>
      </c>
      <c r="P21" s="65" t="s">
        <v>1450</v>
      </c>
      <c r="Q21" s="66" t="s">
        <v>1549</v>
      </c>
      <c r="R21" s="64" t="str">
        <f>'Geo &amp; CIC Deployment Plan'!AG152</f>
        <v>Legacy CIC</v>
      </c>
      <c r="S21" s="64" t="str">
        <f>'Geo &amp; CIC Deployment Plan'!AH152</f>
        <v>F2F</v>
      </c>
      <c r="T21" s="64" t="str">
        <f>'Geo &amp; CIC Deployment Plan'!Z152</f>
        <v>Complete</v>
      </c>
      <c r="U21" s="64" t="str">
        <f>'Geo &amp; CIC Deployment Plan'!AB152</f>
        <v>Complete</v>
      </c>
      <c r="V21" s="64" t="str">
        <f>'Geo &amp; CIC Deployment Plan'!AD152</f>
        <v>Complete</v>
      </c>
      <c r="W21" s="64"/>
      <c r="X21" s="64" t="str">
        <f>'Geo &amp; CIC Deployment Plan'!AE152</f>
        <v>Planned</v>
      </c>
      <c r="Y21" s="64" t="str">
        <f>'Geo &amp; CIC Deployment Plan'!AF152</f>
        <v>Planned</v>
      </c>
      <c r="Z21" s="69">
        <f>'Geo &amp; CIC Deployment Plan'!V152</f>
        <v>14</v>
      </c>
      <c r="AA21" s="69"/>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478" t="s">
        <v>1550</v>
      </c>
      <c r="CE21" s="479"/>
      <c r="CF21" s="479"/>
      <c r="CG21" s="479"/>
      <c r="CH21" s="479"/>
      <c r="CI21" s="479"/>
      <c r="CJ21" s="479"/>
      <c r="CK21" s="479"/>
      <c r="CL21" s="479"/>
      <c r="CM21" s="479"/>
      <c r="CN21" s="480"/>
      <c r="CO21" s="65" t="s">
        <v>1258</v>
      </c>
      <c r="CP21" s="65" t="s">
        <v>1282</v>
      </c>
      <c r="CQ21" s="66" t="s">
        <v>1551</v>
      </c>
      <c r="CR21" s="67" t="e">
        <f>'Geo &amp; CIC Deployment Plan'!#REF!</f>
        <v>#REF!</v>
      </c>
      <c r="CS21" s="67" t="e">
        <f>'Geo &amp; CIC Deployment Plan'!#REF!</f>
        <v>#REF!</v>
      </c>
      <c r="CT21" s="67" t="e">
        <f>'Geo &amp; CIC Deployment Plan'!#REF!</f>
        <v>#REF!</v>
      </c>
      <c r="CU21" s="67" t="e">
        <f>'Geo &amp; CIC Deployment Plan'!#REF!</f>
        <v>#REF!</v>
      </c>
      <c r="CV21" s="67" t="e">
        <f>'Geo &amp; CIC Deployment Plan'!#REF!</f>
        <v>#REF!</v>
      </c>
      <c r="CW21" s="67"/>
      <c r="CX21" s="67" t="e">
        <f>'Geo &amp; CIC Deployment Plan'!#REF!</f>
        <v>#REF!</v>
      </c>
      <c r="CY21" s="67" t="e">
        <f>'Geo &amp; CIC Deployment Plan'!#REF!</f>
        <v>#REF!</v>
      </c>
      <c r="CZ21" s="64" t="e">
        <f>'Geo &amp; CIC Deployment Plan'!#REF!</f>
        <v>#REF!</v>
      </c>
      <c r="DA21" s="64"/>
      <c r="DB21" s="65" t="s">
        <v>1258</v>
      </c>
      <c r="DC21" s="65" t="s">
        <v>1286</v>
      </c>
      <c r="DD21" s="66" t="s">
        <v>1552</v>
      </c>
      <c r="DE21" s="67" t="str">
        <f>'Geo &amp; CIC Deployment Plan'!AG252</f>
        <v>New GBS Associates Induction</v>
      </c>
      <c r="DF21" s="67" t="str">
        <f>'Geo &amp; CIC Deployment Plan'!AH252</f>
        <v>Virtual</v>
      </c>
      <c r="DG21" s="67" t="str">
        <f>'Geo &amp; CIC Deployment Plan'!Z252</f>
        <v>Complete</v>
      </c>
      <c r="DH21" s="67" t="str">
        <f>'Geo &amp; CIC Deployment Plan'!AB252</f>
        <v>Complete</v>
      </c>
      <c r="DI21" s="67" t="str">
        <f>'Geo &amp; CIC Deployment Plan'!AD252</f>
        <v>Tentative</v>
      </c>
      <c r="DJ21" s="67"/>
      <c r="DK21" s="67" t="str">
        <f>'Geo &amp; CIC Deployment Plan'!AE252</f>
        <v>Tentative</v>
      </c>
      <c r="DL21" s="67" t="str">
        <f>'Geo &amp; CIC Deployment Plan'!AF252</f>
        <v>Tentative</v>
      </c>
      <c r="DM21" s="64">
        <f>'Geo &amp; CIC Deployment Plan'!V252</f>
        <v>2</v>
      </c>
      <c r="DN21" s="64"/>
      <c r="DO21" s="65" t="s">
        <v>1258</v>
      </c>
      <c r="DP21" s="65" t="s">
        <v>1489</v>
      </c>
      <c r="DQ21" s="66" t="s">
        <v>1553</v>
      </c>
      <c r="DR21" s="67" t="e">
        <f>'Geo &amp; CIC Deployment Plan'!#REF!</f>
        <v>#REF!</v>
      </c>
      <c r="DS21" s="67" t="e">
        <f>'Geo &amp; CIC Deployment Plan'!#REF!</f>
        <v>#REF!</v>
      </c>
      <c r="DT21" s="67" t="e">
        <f>'Geo &amp; CIC Deployment Plan'!#REF!</f>
        <v>#REF!</v>
      </c>
      <c r="DU21" s="67" t="e">
        <f>'Geo &amp; CIC Deployment Plan'!#REF!</f>
        <v>#REF!</v>
      </c>
      <c r="DV21" s="67" t="e">
        <f>'Geo &amp; CIC Deployment Plan'!#REF!</f>
        <v>#REF!</v>
      </c>
      <c r="DW21" s="67"/>
      <c r="DX21" s="67" t="e">
        <f>'Geo &amp; CIC Deployment Plan'!#REF!</f>
        <v>#REF!</v>
      </c>
      <c r="DY21" s="67" t="e">
        <f>'Geo &amp; CIC Deployment Plan'!#REF!</f>
        <v>#REF!</v>
      </c>
      <c r="DZ21" s="64" t="e">
        <f>'Geo &amp; CIC Deployment Plan'!#REF!</f>
        <v>#REF!</v>
      </c>
      <c r="EA21" s="64"/>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c r="FC21" s="48"/>
      <c r="FD21" s="48"/>
      <c r="FE21" s="48"/>
      <c r="FF21" s="48"/>
      <c r="FG21" s="48"/>
      <c r="FH21" s="48"/>
      <c r="FI21" s="48"/>
      <c r="FJ21" s="48"/>
      <c r="FK21" s="48"/>
      <c r="FL21" s="48"/>
      <c r="FM21" s="48"/>
      <c r="FN21" s="48"/>
      <c r="FO21" s="48"/>
      <c r="FP21" s="48"/>
      <c r="FQ21" s="48"/>
      <c r="FR21" s="48"/>
      <c r="FS21" s="48"/>
      <c r="FT21" s="48"/>
      <c r="FU21" s="48"/>
      <c r="FV21" s="48"/>
      <c r="FX21" s="50"/>
      <c r="FY21" s="50"/>
      <c r="FZ21" s="50"/>
      <c r="GA21" s="50"/>
    </row>
    <row r="22" spans="4:185" ht="24">
      <c r="D22" s="65"/>
      <c r="E22" s="65"/>
      <c r="F22" s="65"/>
      <c r="G22" s="65"/>
      <c r="H22" s="65"/>
      <c r="I22" s="65"/>
      <c r="J22" s="65"/>
      <c r="K22" s="65"/>
      <c r="L22" s="65"/>
      <c r="M22" s="65"/>
      <c r="N22" s="65"/>
      <c r="O22" s="65"/>
      <c r="P22" s="65"/>
      <c r="Q22" s="548" t="s">
        <v>1440</v>
      </c>
      <c r="R22" s="549"/>
      <c r="S22" s="549"/>
      <c r="T22" s="549"/>
      <c r="U22" s="549"/>
      <c r="V22" s="549"/>
      <c r="W22" s="549"/>
      <c r="X22" s="549"/>
      <c r="Y22" s="549"/>
      <c r="Z22" s="549"/>
      <c r="AA22" s="550"/>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t="s">
        <v>1258</v>
      </c>
      <c r="CC22" s="65" t="s">
        <v>230</v>
      </c>
      <c r="CD22" s="66" t="s">
        <v>1554</v>
      </c>
      <c r="CE22" s="67" t="str">
        <f>'Geo &amp; CIC Deployment Plan'!AG82</f>
        <v>New GBS Associates Induction</v>
      </c>
      <c r="CF22" s="67" t="str">
        <f>'Geo &amp; CIC Deployment Plan'!AH82</f>
        <v>Virtual</v>
      </c>
      <c r="CG22" s="67" t="str">
        <f>'Geo &amp; CIC Deployment Plan'!Z82</f>
        <v>Complete</v>
      </c>
      <c r="CH22" s="67" t="str">
        <f>'Geo &amp; CIC Deployment Plan'!AB82</f>
        <v>Complete</v>
      </c>
      <c r="CI22" s="67" t="str">
        <f>'Geo &amp; CIC Deployment Plan'!AD82</f>
        <v>Complete</v>
      </c>
      <c r="CJ22" s="67"/>
      <c r="CK22" s="67" t="str">
        <f>'Geo &amp; CIC Deployment Plan'!AE82</f>
        <v>Planned</v>
      </c>
      <c r="CL22" s="67" t="str">
        <f>'Geo &amp; CIC Deployment Plan'!AF82</f>
        <v>Planned</v>
      </c>
      <c r="CM22" s="64">
        <f>'Geo &amp; CIC Deployment Plan'!V82</f>
        <v>16</v>
      </c>
      <c r="CN22" s="64"/>
      <c r="CO22" s="65" t="s">
        <v>1258</v>
      </c>
      <c r="CP22" s="65" t="s">
        <v>1282</v>
      </c>
      <c r="CQ22" s="66" t="s">
        <v>1551</v>
      </c>
      <c r="CR22" s="67" t="str">
        <f>'Geo &amp; CIC Deployment Plan'!AG13</f>
        <v>New GBS Associates Induction</v>
      </c>
      <c r="CS22" s="67" t="str">
        <f>'Geo &amp; CIC Deployment Plan'!AH13</f>
        <v>Virtual</v>
      </c>
      <c r="CT22" s="67" t="str">
        <f>'Geo &amp; CIC Deployment Plan'!Z13</f>
        <v>Complete</v>
      </c>
      <c r="CU22" s="67" t="str">
        <f>'Geo &amp; CIC Deployment Plan'!AB13</f>
        <v>Complete</v>
      </c>
      <c r="CV22" s="67" t="str">
        <f>'Geo &amp; CIC Deployment Plan'!AD13</f>
        <v>In Progress</v>
      </c>
      <c r="CW22" s="67"/>
      <c r="CX22" s="67" t="str">
        <f>'Geo &amp; CIC Deployment Plan'!AE13</f>
        <v>Planned</v>
      </c>
      <c r="CY22" s="67" t="str">
        <f>'Geo &amp; CIC Deployment Plan'!AF13</f>
        <v>Planned</v>
      </c>
      <c r="CZ22" s="64">
        <f>'Geo &amp; CIC Deployment Plan'!V13</f>
        <v>29</v>
      </c>
      <c r="DA22" s="64"/>
      <c r="DB22" s="65"/>
      <c r="DC22" s="65"/>
      <c r="DD22" s="548" t="s">
        <v>1461</v>
      </c>
      <c r="DE22" s="549"/>
      <c r="DF22" s="549"/>
      <c r="DG22" s="549"/>
      <c r="DH22" s="549"/>
      <c r="DI22" s="549"/>
      <c r="DJ22" s="549"/>
      <c r="DK22" s="549"/>
      <c r="DL22" s="549"/>
      <c r="DM22" s="549"/>
      <c r="DN22" s="550"/>
      <c r="DO22" s="65"/>
      <c r="DP22" s="65"/>
      <c r="DQ22" s="548" t="s">
        <v>1440</v>
      </c>
      <c r="DR22" s="549"/>
      <c r="DS22" s="549"/>
      <c r="DT22" s="549"/>
      <c r="DU22" s="549"/>
      <c r="DV22" s="549"/>
      <c r="DW22" s="549"/>
      <c r="DX22" s="549"/>
      <c r="DY22" s="549"/>
      <c r="DZ22" s="549"/>
      <c r="EA22" s="550"/>
      <c r="EB22" s="65"/>
      <c r="EC22" s="65"/>
      <c r="ED22" s="65"/>
      <c r="EE22" s="65"/>
      <c r="EF22" s="65"/>
      <c r="EG22" s="65"/>
      <c r="EH22" s="65"/>
      <c r="EI22" s="65"/>
      <c r="EJ22" s="65"/>
      <c r="EK22" s="65"/>
      <c r="EL22" s="65"/>
      <c r="EM22" s="65"/>
      <c r="EN22" s="65"/>
      <c r="EO22" s="65"/>
      <c r="EP22" s="65"/>
      <c r="EQ22" s="65"/>
      <c r="ER22" s="65"/>
      <c r="ES22" s="65"/>
      <c r="ET22" s="65"/>
      <c r="EU22" s="65"/>
      <c r="EV22" s="65"/>
      <c r="EW22" s="65"/>
      <c r="EX22" s="65"/>
      <c r="EY22" s="65"/>
      <c r="EZ22" s="65"/>
      <c r="FA22" s="65"/>
      <c r="FC22" s="48"/>
      <c r="FD22" s="48"/>
      <c r="FE22" s="48"/>
      <c r="FF22" s="48"/>
      <c r="FG22" s="48"/>
      <c r="FH22" s="48"/>
      <c r="FI22" s="48"/>
      <c r="FJ22" s="48"/>
      <c r="FK22" s="48"/>
      <c r="FL22" s="48"/>
      <c r="FM22" s="48"/>
      <c r="FN22" s="48"/>
      <c r="FO22" s="48"/>
      <c r="FP22" s="48"/>
      <c r="FQ22" s="48"/>
      <c r="FR22" s="48"/>
      <c r="FS22" s="48"/>
      <c r="FT22" s="48"/>
      <c r="FU22" s="48"/>
      <c r="FV22" s="48"/>
      <c r="FX22" s="50"/>
      <c r="FY22" s="50"/>
      <c r="FZ22" s="50"/>
      <c r="GA22" s="50"/>
    </row>
    <row r="23" spans="4:185" ht="24">
      <c r="D23" s="65"/>
      <c r="E23" s="65"/>
      <c r="F23" s="65"/>
      <c r="G23" s="65"/>
      <c r="H23" s="65"/>
      <c r="I23" s="65"/>
      <c r="J23" s="65"/>
      <c r="K23" s="65"/>
      <c r="L23" s="65"/>
      <c r="M23" s="65"/>
      <c r="N23" s="65"/>
      <c r="O23" s="65" t="s">
        <v>1258</v>
      </c>
      <c r="P23" s="65" t="s">
        <v>1282</v>
      </c>
      <c r="Q23" s="66" t="s">
        <v>1555</v>
      </c>
      <c r="R23" s="64" t="str">
        <f>'Geo &amp; CIC Deployment Plan'!AG6</f>
        <v>Legacy CIC</v>
      </c>
      <c r="S23" s="64" t="str">
        <f>'Geo &amp; CIC Deployment Plan'!AH6</f>
        <v>F2F</v>
      </c>
      <c r="T23" s="64" t="str">
        <f>'Geo &amp; CIC Deployment Plan'!Z6</f>
        <v>Complete</v>
      </c>
      <c r="U23" s="64" t="str">
        <f>'Geo &amp; CIC Deployment Plan'!AB6</f>
        <v>Complete</v>
      </c>
      <c r="V23" s="64" t="str">
        <f>'Geo &amp; CIC Deployment Plan'!AD6</f>
        <v>Complete</v>
      </c>
      <c r="W23" s="64"/>
      <c r="X23" s="64" t="str">
        <f>'Geo &amp; CIC Deployment Plan'!AE6</f>
        <v>Planned</v>
      </c>
      <c r="Y23" s="64" t="str">
        <f>'Geo &amp; CIC Deployment Plan'!AF6</f>
        <v>Planned</v>
      </c>
      <c r="Z23" s="69">
        <f>'Geo &amp; CIC Deployment Plan'!V6</f>
        <v>117</v>
      </c>
      <c r="AA23" s="69"/>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75"/>
      <c r="CD23" s="478" t="s">
        <v>1460</v>
      </c>
      <c r="CE23" s="479"/>
      <c r="CF23" s="479"/>
      <c r="CG23" s="479"/>
      <c r="CH23" s="479"/>
      <c r="CI23" s="479"/>
      <c r="CJ23" s="479"/>
      <c r="CK23" s="479"/>
      <c r="CL23" s="479"/>
      <c r="CM23" s="479"/>
      <c r="CN23" s="480"/>
      <c r="CO23" s="65"/>
      <c r="CP23" s="65"/>
      <c r="CQ23" s="548" t="s">
        <v>1481</v>
      </c>
      <c r="CR23" s="549"/>
      <c r="CS23" s="549"/>
      <c r="CT23" s="549"/>
      <c r="CU23" s="549"/>
      <c r="CV23" s="549"/>
      <c r="CW23" s="549"/>
      <c r="CX23" s="549"/>
      <c r="CY23" s="549"/>
      <c r="CZ23" s="549"/>
      <c r="DA23" s="550"/>
      <c r="DB23" s="65" t="s">
        <v>1452</v>
      </c>
      <c r="DC23" s="65" t="s">
        <v>1310</v>
      </c>
      <c r="DD23" s="66" t="s">
        <v>1556</v>
      </c>
      <c r="DE23" s="67" t="str">
        <f>'Geo &amp; CIC Deployment Plan'!AG433</f>
        <v>New GBS Associates Induction</v>
      </c>
      <c r="DF23" s="67" t="str">
        <f>'Geo &amp; CIC Deployment Plan'!AH433</f>
        <v>Virtual</v>
      </c>
      <c r="DG23" s="67" t="str">
        <f>'Geo &amp; CIC Deployment Plan'!Z433</f>
        <v>In Progress</v>
      </c>
      <c r="DH23" s="67">
        <f>'Geo &amp; CIC Deployment Plan'!AB433</f>
        <v>0</v>
      </c>
      <c r="DI23" s="67">
        <f>'Geo &amp; CIC Deployment Plan'!AD433</f>
        <v>0</v>
      </c>
      <c r="DJ23" s="67"/>
      <c r="DK23" s="67">
        <f>'Geo &amp; CIC Deployment Plan'!AE433</f>
        <v>0</v>
      </c>
      <c r="DL23" s="67">
        <f>'Geo &amp; CIC Deployment Plan'!AF433</f>
        <v>0</v>
      </c>
      <c r="DM23" s="64">
        <f>'Geo &amp; CIC Deployment Plan'!U433</f>
        <v>27</v>
      </c>
      <c r="DN23" s="64"/>
      <c r="DO23" s="65" t="s">
        <v>1258</v>
      </c>
      <c r="DP23" s="65" t="s">
        <v>1282</v>
      </c>
      <c r="DQ23" s="66" t="s">
        <v>1557</v>
      </c>
      <c r="DR23" s="67" t="str">
        <f>'Geo &amp; CIC Deployment Plan'!AG$17</f>
        <v>New GBS Associates Induction</v>
      </c>
      <c r="DS23" s="67" t="str">
        <f>'Geo &amp; CIC Deployment Plan'!AH$17</f>
        <v>Virtual</v>
      </c>
      <c r="DT23" s="67" t="str">
        <f>'Geo &amp; CIC Deployment Plan'!Z$17</f>
        <v>Complete</v>
      </c>
      <c r="DU23" s="67" t="str">
        <f>'Geo &amp; CIC Deployment Plan'!AB$17</f>
        <v>Complete</v>
      </c>
      <c r="DV23" s="67" t="str">
        <f>'Geo &amp; CIC Deployment Plan'!AD$17</f>
        <v>Planned</v>
      </c>
      <c r="DW23" s="67"/>
      <c r="DX23" s="67" t="str">
        <f>'Geo &amp; CIC Deployment Plan'!AE$17</f>
        <v>Planned</v>
      </c>
      <c r="DY23" s="67" t="str">
        <f>'Geo &amp; CIC Deployment Plan'!AF$17</f>
        <v>Planned</v>
      </c>
      <c r="DZ23" s="64">
        <f>'Geo &amp; CIC Deployment Plan'!V17</f>
        <v>52</v>
      </c>
      <c r="EA23" s="64"/>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C23" s="48"/>
      <c r="FD23" s="48"/>
      <c r="FE23" s="48"/>
      <c r="FF23" s="48"/>
      <c r="FG23" s="48"/>
      <c r="FH23" s="48"/>
      <c r="FI23" s="48"/>
      <c r="FJ23" s="48"/>
      <c r="FK23" s="48"/>
      <c r="FL23" s="48"/>
      <c r="FM23" s="48"/>
      <c r="FN23" s="48"/>
      <c r="FO23" s="48"/>
      <c r="FP23" s="48"/>
      <c r="FQ23" s="48"/>
      <c r="FR23" s="48"/>
      <c r="FS23" s="48"/>
      <c r="FT23" s="48"/>
      <c r="FU23" s="48"/>
      <c r="FV23" s="48"/>
      <c r="FX23" s="50"/>
      <c r="FY23" s="50"/>
      <c r="FZ23" s="50"/>
      <c r="GA23" s="50"/>
    </row>
    <row r="24" spans="4:185" ht="36">
      <c r="D24" s="65"/>
      <c r="E24" s="65"/>
      <c r="F24" s="65"/>
      <c r="G24" s="65"/>
      <c r="H24" s="65"/>
      <c r="I24" s="65"/>
      <c r="J24" s="65"/>
      <c r="K24" s="65"/>
      <c r="L24" s="65"/>
      <c r="M24" s="65"/>
      <c r="N24" s="65"/>
      <c r="O24" s="65" t="s">
        <v>1258</v>
      </c>
      <c r="P24" s="65" t="s">
        <v>1282</v>
      </c>
      <c r="Q24" s="66" t="s">
        <v>1558</v>
      </c>
      <c r="R24" s="64" t="str">
        <f>'Geo &amp; CIC Deployment Plan'!AG7</f>
        <v>Legacy CIC</v>
      </c>
      <c r="S24" s="64" t="str">
        <f>'Geo &amp; CIC Deployment Plan'!AH7</f>
        <v>F2F</v>
      </c>
      <c r="T24" s="64" t="str">
        <f>'Geo &amp; CIC Deployment Plan'!Z7</f>
        <v>Complete</v>
      </c>
      <c r="U24" s="64" t="str">
        <f>'Geo &amp; CIC Deployment Plan'!AB7</f>
        <v>Complete</v>
      </c>
      <c r="V24" s="64" t="str">
        <f>'Geo &amp; CIC Deployment Plan'!AD7</f>
        <v>Complete</v>
      </c>
      <c r="W24" s="64"/>
      <c r="X24" s="64" t="str">
        <f>'Geo &amp; CIC Deployment Plan'!AE7</f>
        <v>Planned</v>
      </c>
      <c r="Y24" s="64" t="str">
        <f>'Geo &amp; CIC Deployment Plan'!AF7</f>
        <v>Planned</v>
      </c>
      <c r="Z24" s="69">
        <f>'Geo &amp; CIC Deployment Plan'!V7</f>
        <v>105</v>
      </c>
      <c r="AA24" s="69"/>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t="s">
        <v>1258</v>
      </c>
      <c r="CC24" s="75" t="s">
        <v>918</v>
      </c>
      <c r="CD24" s="66" t="s">
        <v>1559</v>
      </c>
      <c r="CE24" s="67" t="str">
        <f>'Geo &amp; CIC Deployment Plan'!AG378</f>
        <v>New GBS Associates Induction</v>
      </c>
      <c r="CF24" s="67" t="str">
        <f>'Geo &amp; CIC Deployment Plan'!AH378</f>
        <v>Virtual</v>
      </c>
      <c r="CG24" s="67" t="str">
        <f>'Geo &amp; CIC Deployment Plan'!Z378</f>
        <v>Complete</v>
      </c>
      <c r="CH24" s="67" t="str">
        <f>'Geo &amp; CIC Deployment Plan'!AB378</f>
        <v>Complete</v>
      </c>
      <c r="CI24" s="67" t="str">
        <f>'Geo &amp; CIC Deployment Plan'!AD378</f>
        <v>In Progress</v>
      </c>
      <c r="CJ24" s="67"/>
      <c r="CK24" s="67" t="str">
        <f>'Geo &amp; CIC Deployment Plan'!AE378</f>
        <v>Planned</v>
      </c>
      <c r="CL24" s="67" t="str">
        <f>'Geo &amp; CIC Deployment Plan'!AF378</f>
        <v>Planned</v>
      </c>
      <c r="CM24" s="64">
        <f>'Geo &amp; CIC Deployment Plan'!V378</f>
        <v>36</v>
      </c>
      <c r="CN24" s="64"/>
      <c r="CO24" s="65" t="s">
        <v>1258</v>
      </c>
      <c r="CP24" s="65" t="s">
        <v>1489</v>
      </c>
      <c r="CQ24" s="66" t="s">
        <v>1560</v>
      </c>
      <c r="CR24" s="67" t="e">
        <f>'Geo &amp; CIC Deployment Plan'!#REF!</f>
        <v>#REF!</v>
      </c>
      <c r="CS24" s="67" t="e">
        <f>'Geo &amp; CIC Deployment Plan'!#REF!</f>
        <v>#REF!</v>
      </c>
      <c r="CT24" s="67" t="e">
        <f>'Geo &amp; CIC Deployment Plan'!#REF!</f>
        <v>#REF!</v>
      </c>
      <c r="CU24" s="67" t="e">
        <f>'Geo &amp; CIC Deployment Plan'!#REF!</f>
        <v>#REF!</v>
      </c>
      <c r="CV24" s="67" t="e">
        <f>'Geo &amp; CIC Deployment Plan'!#REF!</f>
        <v>#REF!</v>
      </c>
      <c r="CW24" s="67"/>
      <c r="CX24" s="67" t="e">
        <f>'Geo &amp; CIC Deployment Plan'!#REF!</f>
        <v>#REF!</v>
      </c>
      <c r="CY24" s="67" t="e">
        <f>'Geo &amp; CIC Deployment Plan'!#REF!</f>
        <v>#REF!</v>
      </c>
      <c r="CZ24" s="64" t="e">
        <f>'Geo &amp; CIC Deployment Plan'!#REF!</f>
        <v>#REF!</v>
      </c>
      <c r="DA24" s="64"/>
      <c r="DB24" s="65"/>
      <c r="DC24" s="65"/>
      <c r="DD24" s="548" t="s">
        <v>1523</v>
      </c>
      <c r="DE24" s="549"/>
      <c r="DF24" s="549"/>
      <c r="DG24" s="549"/>
      <c r="DH24" s="549"/>
      <c r="DI24" s="549"/>
      <c r="DJ24" s="549"/>
      <c r="DK24" s="549"/>
      <c r="DL24" s="549"/>
      <c r="DM24" s="549"/>
      <c r="DN24" s="550"/>
      <c r="DO24" s="65"/>
      <c r="DP24" s="65"/>
      <c r="DQ24" s="548" t="s">
        <v>1561</v>
      </c>
      <c r="DR24" s="549"/>
      <c r="DS24" s="549"/>
      <c r="DT24" s="549"/>
      <c r="DU24" s="549"/>
      <c r="DV24" s="549"/>
      <c r="DW24" s="549"/>
      <c r="DX24" s="549"/>
      <c r="DY24" s="549"/>
      <c r="DZ24" s="549"/>
      <c r="EA24" s="550"/>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C24" s="48"/>
      <c r="FD24" s="48"/>
      <c r="FE24" s="48"/>
      <c r="FF24" s="48"/>
      <c r="FG24" s="48"/>
      <c r="FH24" s="48"/>
      <c r="FI24" s="48"/>
      <c r="FJ24" s="48"/>
      <c r="FK24" s="48"/>
      <c r="FL24" s="48"/>
      <c r="FM24" s="48"/>
      <c r="FN24" s="48"/>
      <c r="FO24" s="48"/>
      <c r="FP24" s="48"/>
      <c r="FQ24" s="48"/>
      <c r="FR24" s="48"/>
      <c r="FS24" s="48"/>
      <c r="FT24" s="48"/>
      <c r="FU24" s="48"/>
      <c r="FV24" s="48"/>
      <c r="FX24" s="50"/>
      <c r="FY24" s="50"/>
      <c r="FZ24" s="50"/>
      <c r="GA24" s="50"/>
    </row>
    <row r="25" spans="4:185" ht="24">
      <c r="D25" s="65"/>
      <c r="E25" s="65"/>
      <c r="F25" s="65"/>
      <c r="G25" s="65"/>
      <c r="H25" s="65"/>
      <c r="I25" s="65"/>
      <c r="J25" s="65"/>
      <c r="K25" s="65"/>
      <c r="L25" s="65"/>
      <c r="M25" s="65"/>
      <c r="N25" s="65"/>
      <c r="O25" s="65"/>
      <c r="P25" s="65"/>
      <c r="Q25" s="548" t="s">
        <v>1460</v>
      </c>
      <c r="R25" s="549"/>
      <c r="S25" s="549"/>
      <c r="T25" s="549"/>
      <c r="U25" s="549"/>
      <c r="V25" s="549"/>
      <c r="W25" s="549"/>
      <c r="X25" s="549"/>
      <c r="Y25" s="549"/>
      <c r="Z25" s="549"/>
      <c r="AA25" s="550"/>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75"/>
      <c r="CD25" s="73"/>
      <c r="CE25" s="74"/>
      <c r="CF25" s="74"/>
      <c r="CG25" s="74"/>
      <c r="CH25" s="74"/>
      <c r="CI25" s="74"/>
      <c r="CJ25" s="74"/>
      <c r="CK25" s="74"/>
      <c r="CL25" s="74"/>
      <c r="CM25" s="65"/>
      <c r="CN25" s="65"/>
      <c r="CO25" s="65"/>
      <c r="CP25" s="65"/>
      <c r="CQ25" s="548" t="s">
        <v>1443</v>
      </c>
      <c r="CR25" s="549"/>
      <c r="CS25" s="549"/>
      <c r="CT25" s="549"/>
      <c r="CU25" s="549"/>
      <c r="CV25" s="549"/>
      <c r="CW25" s="549"/>
      <c r="CX25" s="549"/>
      <c r="CY25" s="549"/>
      <c r="CZ25" s="549"/>
      <c r="DA25" s="550"/>
      <c r="DB25" s="65" t="s">
        <v>1452</v>
      </c>
      <c r="DC25" s="65" t="s">
        <v>1526</v>
      </c>
      <c r="DD25" s="66" t="s">
        <v>1562</v>
      </c>
      <c r="DE25" s="67" t="str">
        <f>'Geo &amp; CIC Deployment Plan'!AG180</f>
        <v>New GBS Associates Induction</v>
      </c>
      <c r="DF25" s="67" t="str">
        <f>'Geo &amp; CIC Deployment Plan'!AH180</f>
        <v>Virtual</v>
      </c>
      <c r="DG25" s="67" t="str">
        <f>'Geo &amp; CIC Deployment Plan'!Z180</f>
        <v>Complete</v>
      </c>
      <c r="DH25" s="67" t="str">
        <f>'Geo &amp; CIC Deployment Plan'!AB180</f>
        <v>Complete</v>
      </c>
      <c r="DI25" s="67" t="str">
        <f>'Geo &amp; CIC Deployment Plan'!AD180</f>
        <v>In Progress</v>
      </c>
      <c r="DJ25" s="67"/>
      <c r="DK25" s="67" t="str">
        <f>'Geo &amp; CIC Deployment Plan'!AE180</f>
        <v>Planned</v>
      </c>
      <c r="DL25" s="67" t="str">
        <f>'Geo &amp; CIC Deployment Plan'!AF180</f>
        <v>Planned</v>
      </c>
      <c r="DM25" s="64">
        <f>'Geo &amp; CIC Deployment Plan'!U180</f>
        <v>32</v>
      </c>
      <c r="DN25" s="64"/>
      <c r="DO25" s="65" t="s">
        <v>1258</v>
      </c>
      <c r="DP25" s="65" t="s">
        <v>230</v>
      </c>
      <c r="DQ25" s="66" t="s">
        <v>1563</v>
      </c>
      <c r="DR25" s="67" t="str">
        <f>'Geo &amp; CIC Deployment Plan'!AG$83</f>
        <v>New GBS Associates Induction</v>
      </c>
      <c r="DS25" s="67" t="str">
        <f>'Geo &amp; CIC Deployment Plan'!AH$83</f>
        <v>Virtual</v>
      </c>
      <c r="DT25" s="67" t="str">
        <f>'Geo &amp; CIC Deployment Plan'!Z$83</f>
        <v>Complete</v>
      </c>
      <c r="DU25" s="67" t="str">
        <f>'Geo &amp; CIC Deployment Plan'!AB$83</f>
        <v>Complete</v>
      </c>
      <c r="DV25" s="67" t="str">
        <f>'Geo &amp; CIC Deployment Plan'!AD$83</f>
        <v>Planned</v>
      </c>
      <c r="DW25" s="67"/>
      <c r="DX25" s="67" t="str">
        <f>'Geo &amp; CIC Deployment Plan'!AE$83</f>
        <v>Planned</v>
      </c>
      <c r="DY25" s="67" t="str">
        <f>'Geo &amp; CIC Deployment Plan'!AF$83</f>
        <v>Planned</v>
      </c>
      <c r="DZ25" s="64">
        <f>'Geo &amp; CIC Deployment Plan'!V83</f>
        <v>150</v>
      </c>
      <c r="EA25" s="64"/>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c r="FC25" s="48"/>
      <c r="FD25" s="48"/>
      <c r="FE25" s="48"/>
      <c r="FF25" s="48"/>
      <c r="FG25" s="48"/>
      <c r="FH25" s="48"/>
      <c r="FI25" s="48"/>
      <c r="FJ25" s="48"/>
      <c r="FK25" s="48"/>
      <c r="FL25" s="48"/>
      <c r="FM25" s="48"/>
      <c r="FN25" s="48"/>
      <c r="FO25" s="48"/>
      <c r="FP25" s="48"/>
      <c r="FQ25" s="48"/>
      <c r="FR25" s="48"/>
      <c r="FS25" s="48"/>
      <c r="FT25" s="48"/>
      <c r="FU25" s="48"/>
      <c r="FV25" s="48"/>
      <c r="FX25" s="50"/>
      <c r="FY25" s="50"/>
      <c r="FZ25" s="50"/>
      <c r="GA25" s="50"/>
    </row>
    <row r="26" spans="4:185" ht="24">
      <c r="D26" s="65"/>
      <c r="E26" s="65"/>
      <c r="F26" s="65"/>
      <c r="G26" s="65"/>
      <c r="H26" s="65"/>
      <c r="I26" s="65"/>
      <c r="J26" s="65"/>
      <c r="K26" s="65"/>
      <c r="L26" s="65"/>
      <c r="M26" s="65"/>
      <c r="N26" s="65"/>
      <c r="O26" s="65" t="s">
        <v>1258</v>
      </c>
      <c r="P26" s="65" t="s">
        <v>918</v>
      </c>
      <c r="Q26" s="66" t="s">
        <v>1564</v>
      </c>
      <c r="R26" s="64" t="str">
        <f>'Geo &amp; CIC Deployment Plan'!AG372</f>
        <v>Legacy CIC</v>
      </c>
      <c r="S26" s="64" t="str">
        <f>'Geo &amp; CIC Deployment Plan'!AH372</f>
        <v>F2F</v>
      </c>
      <c r="T26" s="64" t="str">
        <f>'Geo &amp; CIC Deployment Plan'!Z372</f>
        <v>Complete</v>
      </c>
      <c r="U26" s="64" t="str">
        <f>'Geo &amp; CIC Deployment Plan'!AC372</f>
        <v>In Progress</v>
      </c>
      <c r="V26" s="64" t="str">
        <f>'Geo &amp; CIC Deployment Plan'!AD372</f>
        <v>Complete</v>
      </c>
      <c r="W26" s="64"/>
      <c r="X26" s="64" t="str">
        <f>'Geo &amp; CIC Deployment Plan'!AE372</f>
        <v>Planned</v>
      </c>
      <c r="Y26" s="64" t="str">
        <f>'Geo &amp; CIC Deployment Plan'!AF372</f>
        <v>Planned</v>
      </c>
      <c r="Z26" s="69">
        <f>'Geo &amp; CIC Deployment Plan'!V372</f>
        <v>2</v>
      </c>
      <c r="AA26" s="69"/>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75"/>
      <c r="CD26" s="73"/>
      <c r="CE26" s="74"/>
      <c r="CF26" s="74"/>
      <c r="CG26" s="74"/>
      <c r="CH26" s="74"/>
      <c r="CI26" s="74"/>
      <c r="CJ26" s="74"/>
      <c r="CK26" s="74"/>
      <c r="CL26" s="74"/>
      <c r="CM26" s="65"/>
      <c r="CN26" s="65"/>
      <c r="CO26" s="65" t="s">
        <v>1258</v>
      </c>
      <c r="CP26" s="65" t="s">
        <v>1286</v>
      </c>
      <c r="CQ26" s="66" t="s">
        <v>1565</v>
      </c>
      <c r="CR26" s="67" t="str">
        <f>'Geo &amp; CIC Deployment Plan'!AG249</f>
        <v>New GBS Associates Induction</v>
      </c>
      <c r="CS26" s="67" t="str">
        <f>'Geo &amp; CIC Deployment Plan'!AH249</f>
        <v>Virtual</v>
      </c>
      <c r="CT26" s="67" t="str">
        <f>'Geo &amp; CIC Deployment Plan'!Z249</f>
        <v>Complete</v>
      </c>
      <c r="CU26" s="67" t="str">
        <f>'Geo &amp; CIC Deployment Plan'!AB249</f>
        <v>Complete</v>
      </c>
      <c r="CV26" s="67" t="str">
        <f>'Geo &amp; CIC Deployment Plan'!AD249</f>
        <v>In Progress</v>
      </c>
      <c r="CW26" s="67"/>
      <c r="CX26" s="67" t="str">
        <f>'Geo &amp; CIC Deployment Plan'!AE249</f>
        <v>Planned</v>
      </c>
      <c r="CY26" s="67" t="str">
        <f>'Geo &amp; CIC Deployment Plan'!AF249</f>
        <v>Planned</v>
      </c>
      <c r="CZ26" s="64">
        <f>'Geo &amp; CIC Deployment Plan'!V249</f>
        <v>28</v>
      </c>
      <c r="DA26" s="64"/>
      <c r="DB26" s="65"/>
      <c r="DC26" s="65"/>
      <c r="DD26" s="548" t="s">
        <v>1460</v>
      </c>
      <c r="DE26" s="549"/>
      <c r="DF26" s="549"/>
      <c r="DG26" s="549"/>
      <c r="DH26" s="549"/>
      <c r="DI26" s="549"/>
      <c r="DJ26" s="549"/>
      <c r="DK26" s="549"/>
      <c r="DL26" s="549"/>
      <c r="DM26" s="549"/>
      <c r="DN26" s="550"/>
      <c r="DO26" s="65"/>
      <c r="DP26" s="65"/>
      <c r="DQ26" s="548" t="s">
        <v>1461</v>
      </c>
      <c r="DR26" s="549"/>
      <c r="DS26" s="549"/>
      <c r="DT26" s="549"/>
      <c r="DU26" s="549"/>
      <c r="DV26" s="549"/>
      <c r="DW26" s="549"/>
      <c r="DX26" s="549"/>
      <c r="DY26" s="549"/>
      <c r="DZ26" s="549"/>
      <c r="EA26" s="550"/>
      <c r="EB26" s="65"/>
      <c r="EC26" s="65"/>
      <c r="ED26" s="65"/>
      <c r="EE26" s="65"/>
      <c r="EF26" s="65"/>
      <c r="EG26" s="65"/>
      <c r="EH26" s="65"/>
      <c r="EI26" s="65"/>
      <c r="EJ26" s="65"/>
      <c r="EK26" s="65"/>
      <c r="EL26" s="65"/>
      <c r="EM26" s="65"/>
      <c r="EN26" s="65"/>
      <c r="EO26" s="65"/>
      <c r="EP26" s="65"/>
      <c r="EQ26" s="65"/>
      <c r="ER26" s="65"/>
      <c r="ES26" s="65"/>
      <c r="ET26" s="65"/>
      <c r="EU26" s="65"/>
      <c r="EV26" s="65"/>
      <c r="EW26" s="65"/>
      <c r="EX26" s="65"/>
      <c r="EY26" s="65"/>
      <c r="EZ26" s="65"/>
      <c r="FA26" s="65"/>
      <c r="FC26" s="48"/>
      <c r="FD26" s="48"/>
      <c r="FE26" s="48"/>
      <c r="FF26" s="48"/>
      <c r="FG26" s="48"/>
      <c r="FH26" s="48"/>
      <c r="FI26" s="48"/>
      <c r="FJ26" s="48"/>
      <c r="FK26" s="48"/>
      <c r="FL26" s="48"/>
      <c r="FM26" s="48"/>
      <c r="FN26" s="48"/>
      <c r="FO26" s="48"/>
      <c r="FP26" s="48"/>
      <c r="FQ26" s="48"/>
      <c r="FR26" s="48"/>
      <c r="FS26" s="48"/>
      <c r="FT26" s="48"/>
      <c r="FU26" s="48"/>
      <c r="FV26" s="48"/>
      <c r="FX26" s="50"/>
      <c r="FY26" s="50"/>
      <c r="FZ26" s="50"/>
      <c r="GA26" s="50"/>
    </row>
    <row r="27" spans="4:185" ht="36">
      <c r="D27" s="65"/>
      <c r="E27" s="65"/>
      <c r="F27" s="65"/>
      <c r="G27" s="65"/>
      <c r="H27" s="65"/>
      <c r="I27" s="65"/>
      <c r="J27" s="65"/>
      <c r="K27" s="65"/>
      <c r="L27" s="65"/>
      <c r="M27" s="65"/>
      <c r="N27" s="65"/>
      <c r="O27" s="65"/>
      <c r="P27" s="65"/>
      <c r="Q27" s="548" t="s">
        <v>1440</v>
      </c>
      <c r="R27" s="549"/>
      <c r="S27" s="549"/>
      <c r="T27" s="549"/>
      <c r="U27" s="549"/>
      <c r="V27" s="549"/>
      <c r="W27" s="549"/>
      <c r="X27" s="549"/>
      <c r="Y27" s="549"/>
      <c r="Z27" s="549"/>
      <c r="AA27" s="550"/>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75"/>
      <c r="CD27" s="73"/>
      <c r="CE27" s="74"/>
      <c r="CF27" s="74"/>
      <c r="CG27" s="74"/>
      <c r="CH27" s="74"/>
      <c r="CI27" s="74"/>
      <c r="CJ27" s="74"/>
      <c r="CK27" s="74"/>
      <c r="CL27" s="74"/>
      <c r="CM27" s="65"/>
      <c r="CN27" s="65"/>
      <c r="CO27" s="65" t="s">
        <v>1258</v>
      </c>
      <c r="CP27" s="65" t="s">
        <v>1286</v>
      </c>
      <c r="CQ27" s="66" t="s">
        <v>1566</v>
      </c>
      <c r="CR27" s="67" t="e">
        <f>'Geo &amp; CIC Deployment Plan'!#REF!</f>
        <v>#REF!</v>
      </c>
      <c r="CS27" s="67" t="e">
        <f>'Geo &amp; CIC Deployment Plan'!#REF!</f>
        <v>#REF!</v>
      </c>
      <c r="CT27" s="67" t="e">
        <f>'Geo &amp; CIC Deployment Plan'!#REF!</f>
        <v>#REF!</v>
      </c>
      <c r="CU27" s="67" t="e">
        <f>'Geo &amp; CIC Deployment Plan'!#REF!</f>
        <v>#REF!</v>
      </c>
      <c r="CV27" s="67" t="e">
        <f>'Geo &amp; CIC Deployment Plan'!#REF!</f>
        <v>#REF!</v>
      </c>
      <c r="CW27" s="67"/>
      <c r="CX27" s="67" t="e">
        <f>'Geo &amp; CIC Deployment Plan'!#REF!</f>
        <v>#REF!</v>
      </c>
      <c r="CY27" s="67" t="e">
        <f>'Geo &amp; CIC Deployment Plan'!#REF!</f>
        <v>#REF!</v>
      </c>
      <c r="CZ27" s="64" t="e">
        <f>'Geo &amp; CIC Deployment Plan'!#REF!</f>
        <v>#REF!</v>
      </c>
      <c r="DA27" s="64"/>
      <c r="DB27" s="65" t="s">
        <v>1258</v>
      </c>
      <c r="DC27" s="65" t="s">
        <v>918</v>
      </c>
      <c r="DD27" s="66" t="s">
        <v>1567</v>
      </c>
      <c r="DE27" s="67" t="e">
        <f>'Geo &amp; CIC Deployment Plan'!#REF!</f>
        <v>#REF!</v>
      </c>
      <c r="DF27" s="67" t="e">
        <f>'Geo &amp; CIC Deployment Plan'!#REF!</f>
        <v>#REF!</v>
      </c>
      <c r="DG27" s="67" t="e">
        <f>'Geo &amp; CIC Deployment Plan'!#REF!</f>
        <v>#REF!</v>
      </c>
      <c r="DH27" s="67" t="e">
        <f>'Geo &amp; CIC Deployment Plan'!#REF!</f>
        <v>#REF!</v>
      </c>
      <c r="DI27" s="67" t="e">
        <f>'Geo &amp; CIC Deployment Plan'!#REF!</f>
        <v>#REF!</v>
      </c>
      <c r="DJ27" s="67"/>
      <c r="DK27" s="67" t="e">
        <f>'Geo &amp; CIC Deployment Plan'!#REF!</f>
        <v>#REF!</v>
      </c>
      <c r="DL27" s="67" t="e">
        <f>'Geo &amp; CIC Deployment Plan'!#REF!</f>
        <v>#REF!</v>
      </c>
      <c r="DM27" s="64" t="e">
        <f>'Geo &amp; CIC Deployment Plan'!#REF!</f>
        <v>#REF!</v>
      </c>
      <c r="DN27" s="64"/>
      <c r="DO27" s="65" t="s">
        <v>1452</v>
      </c>
      <c r="DP27" s="65" t="s">
        <v>1310</v>
      </c>
      <c r="DQ27" s="66" t="s">
        <v>1568</v>
      </c>
      <c r="DR27" s="67" t="str">
        <f>'Geo &amp; CIC Deployment Plan'!AG$434</f>
        <v>New GBS Associates Induction</v>
      </c>
      <c r="DS27" s="67" t="str">
        <f>'Geo &amp; CIC Deployment Plan'!AH$434</f>
        <v>Virtual</v>
      </c>
      <c r="DT27" s="67" t="str">
        <f>'Geo &amp; CIC Deployment Plan'!Z$434</f>
        <v>In Progress</v>
      </c>
      <c r="DU27" s="67">
        <f>'Geo &amp; CIC Deployment Plan'!AB$434</f>
        <v>0</v>
      </c>
      <c r="DV27" s="67">
        <f>'Geo &amp; CIC Deployment Plan'!AD$434</f>
        <v>0</v>
      </c>
      <c r="DW27" s="67"/>
      <c r="DX27" s="67">
        <f>'Geo &amp; CIC Deployment Plan'!AE$434</f>
        <v>0</v>
      </c>
      <c r="DY27" s="67">
        <f>'Geo &amp; CIC Deployment Plan'!AF$434</f>
        <v>0</v>
      </c>
      <c r="DZ27" s="64">
        <f>'Geo &amp; CIC Deployment Plan'!U434</f>
        <v>29</v>
      </c>
      <c r="EA27" s="64"/>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C27" s="48"/>
      <c r="FD27" s="48"/>
      <c r="FE27" s="48"/>
      <c r="FF27" s="48"/>
      <c r="FG27" s="48"/>
      <c r="FH27" s="48"/>
      <c r="FI27" s="48"/>
      <c r="FJ27" s="48"/>
      <c r="FK27" s="48"/>
      <c r="FL27" s="48"/>
      <c r="FM27" s="48"/>
      <c r="FN27" s="48"/>
      <c r="FO27" s="48"/>
      <c r="FP27" s="48"/>
      <c r="FQ27" s="48"/>
      <c r="FR27" s="48"/>
      <c r="FS27" s="48"/>
      <c r="FT27" s="48"/>
      <c r="FU27" s="48"/>
      <c r="FV27" s="48"/>
      <c r="FX27" s="50"/>
      <c r="FY27" s="50"/>
      <c r="FZ27" s="50"/>
      <c r="GA27" s="50"/>
    </row>
    <row r="28" spans="4:185" ht="36" customHeight="1">
      <c r="D28" s="65"/>
      <c r="E28" s="65"/>
      <c r="F28" s="65"/>
      <c r="G28" s="65"/>
      <c r="H28" s="65"/>
      <c r="I28" s="65"/>
      <c r="J28" s="65"/>
      <c r="K28" s="65"/>
      <c r="L28" s="65"/>
      <c r="M28" s="65"/>
      <c r="N28" s="65"/>
      <c r="O28" s="65" t="s">
        <v>1258</v>
      </c>
      <c r="P28" s="65" t="s">
        <v>1282</v>
      </c>
      <c r="Q28" s="66" t="s">
        <v>1569</v>
      </c>
      <c r="R28" s="64" t="str">
        <f>'Geo &amp; CIC Deployment Plan'!AG8</f>
        <v>Legacy CIC</v>
      </c>
      <c r="S28" s="64" t="str">
        <f>'Geo &amp; CIC Deployment Plan'!AH8</f>
        <v>F2F</v>
      </c>
      <c r="T28" s="64" t="str">
        <f>'Geo &amp; CIC Deployment Plan'!Z8</f>
        <v>Complete</v>
      </c>
      <c r="U28" s="64" t="str">
        <f>'Geo &amp; CIC Deployment Plan'!AB8</f>
        <v>Complete</v>
      </c>
      <c r="V28" s="64" t="str">
        <f>'Geo &amp; CIC Deployment Plan'!AD8</f>
        <v>Complete</v>
      </c>
      <c r="W28" s="64"/>
      <c r="X28" s="64" t="str">
        <f>'Geo &amp; CIC Deployment Plan'!AE8</f>
        <v>Planned</v>
      </c>
      <c r="Y28" s="64" t="str">
        <f>'Geo &amp; CIC Deployment Plan'!AF8</f>
        <v>Planned</v>
      </c>
      <c r="Z28" s="69">
        <f>'Geo &amp; CIC Deployment Plan'!V8</f>
        <v>107</v>
      </c>
      <c r="AA28" s="69"/>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75"/>
      <c r="CD28" s="72"/>
      <c r="CE28" s="65"/>
      <c r="CF28" s="65"/>
      <c r="CG28" s="65"/>
      <c r="CH28" s="65"/>
      <c r="CI28" s="65"/>
      <c r="CJ28" s="65"/>
      <c r="CK28" s="65"/>
      <c r="CL28" s="65"/>
      <c r="CM28" s="65"/>
      <c r="CN28" s="65"/>
      <c r="CO28" s="65"/>
      <c r="CP28" s="65"/>
      <c r="CQ28" s="548" t="s">
        <v>1461</v>
      </c>
      <c r="CR28" s="549"/>
      <c r="CS28" s="549"/>
      <c r="CT28" s="549"/>
      <c r="CU28" s="549"/>
      <c r="CV28" s="549"/>
      <c r="CW28" s="549"/>
      <c r="CX28" s="549"/>
      <c r="CY28" s="549"/>
      <c r="CZ28" s="549"/>
      <c r="DA28" s="550"/>
      <c r="DB28" s="65"/>
      <c r="DC28" s="65"/>
      <c r="DD28" s="548" t="s">
        <v>1440</v>
      </c>
      <c r="DE28" s="549"/>
      <c r="DF28" s="549"/>
      <c r="DG28" s="549"/>
      <c r="DH28" s="549"/>
      <c r="DI28" s="549"/>
      <c r="DJ28" s="549"/>
      <c r="DK28" s="549"/>
      <c r="DL28" s="549"/>
      <c r="DM28" s="549"/>
      <c r="DN28" s="550"/>
      <c r="DO28" s="65"/>
      <c r="DP28" s="65"/>
      <c r="DQ28" s="548" t="s">
        <v>1476</v>
      </c>
      <c r="DR28" s="549"/>
      <c r="DS28" s="549"/>
      <c r="DT28" s="549"/>
      <c r="DU28" s="549"/>
      <c r="DV28" s="549"/>
      <c r="DW28" s="549"/>
      <c r="DX28" s="549"/>
      <c r="DY28" s="549"/>
      <c r="DZ28" s="549"/>
      <c r="EA28" s="550"/>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C28" s="48"/>
      <c r="FD28" s="48"/>
      <c r="FE28" s="48"/>
      <c r="FF28" s="48"/>
      <c r="FG28" s="48"/>
      <c r="FH28" s="48"/>
      <c r="FI28" s="48"/>
      <c r="FJ28" s="48"/>
      <c r="FK28" s="48"/>
      <c r="FL28" s="48"/>
      <c r="FM28" s="48"/>
      <c r="FN28" s="48"/>
      <c r="FO28" s="48"/>
      <c r="FP28" s="48"/>
      <c r="FQ28" s="48"/>
      <c r="FR28" s="48"/>
      <c r="FS28" s="48"/>
      <c r="FT28" s="48"/>
      <c r="FU28" s="48"/>
      <c r="FV28" s="48"/>
      <c r="FX28" s="50"/>
      <c r="FY28" s="50"/>
      <c r="FZ28" s="50"/>
      <c r="GA28" s="50"/>
    </row>
    <row r="29" spans="4:185" s="35" customFormat="1" ht="24">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65"/>
      <c r="AR29" s="65"/>
      <c r="AS29" s="65"/>
      <c r="AT29" s="65"/>
      <c r="AU29" s="65"/>
      <c r="AV29" s="65"/>
      <c r="AW29" s="65"/>
      <c r="AX29" s="65"/>
      <c r="AY29" s="65"/>
      <c r="AZ29" s="65"/>
      <c r="BA29" s="65"/>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65"/>
      <c r="CC29" s="75"/>
      <c r="CD29" s="73"/>
      <c r="CE29" s="74"/>
      <c r="CF29" s="74"/>
      <c r="CG29" s="74"/>
      <c r="CH29" s="74"/>
      <c r="CI29" s="74"/>
      <c r="CJ29" s="74"/>
      <c r="CK29" s="74"/>
      <c r="CL29" s="74"/>
      <c r="CM29" s="65"/>
      <c r="CN29" s="65"/>
      <c r="CO29" s="65" t="s">
        <v>1452</v>
      </c>
      <c r="CP29" s="65" t="s">
        <v>1310</v>
      </c>
      <c r="CQ29" s="77" t="s">
        <v>1570</v>
      </c>
      <c r="CR29" s="67" t="str">
        <f>'Geo &amp; CIC Deployment Plan'!AG431</f>
        <v>New GBS Associates Induction</v>
      </c>
      <c r="CS29" s="67" t="str">
        <f>'Geo &amp; CIC Deployment Plan'!AH431</f>
        <v>Virtual</v>
      </c>
      <c r="CT29" s="67" t="str">
        <f>'Geo &amp; CIC Deployment Plan'!Z431</f>
        <v>Complete</v>
      </c>
      <c r="CU29" s="67" t="str">
        <f>'Geo &amp; CIC Deployment Plan'!AB431</f>
        <v>Complete</v>
      </c>
      <c r="CV29" s="67" t="str">
        <f>'Geo &amp; CIC Deployment Plan'!AD431</f>
        <v>In Progress</v>
      </c>
      <c r="CW29" s="67"/>
      <c r="CX29" s="67" t="str">
        <f>'Geo &amp; CIC Deployment Plan'!AE431</f>
        <v>Planned</v>
      </c>
      <c r="CY29" s="67" t="str">
        <f>'Geo &amp; CIC Deployment Plan'!AF431</f>
        <v>Planned</v>
      </c>
      <c r="CZ29" s="69">
        <f>'Geo &amp; CIC Deployment Plan'!U431</f>
        <v>30</v>
      </c>
      <c r="DA29" s="69"/>
      <c r="DB29" s="65" t="s">
        <v>1258</v>
      </c>
      <c r="DC29" s="65" t="s">
        <v>1282</v>
      </c>
      <c r="DD29" s="77" t="s">
        <v>1571</v>
      </c>
      <c r="DE29" s="67" t="e">
        <f>'Geo &amp; CIC Deployment Plan'!#REF!</f>
        <v>#REF!</v>
      </c>
      <c r="DF29" s="67" t="e">
        <f>'Geo &amp; CIC Deployment Plan'!#REF!</f>
        <v>#REF!</v>
      </c>
      <c r="DG29" s="67" t="e">
        <f>'Geo &amp; CIC Deployment Plan'!#REF!</f>
        <v>#REF!</v>
      </c>
      <c r="DH29" s="67" t="e">
        <f>'Geo &amp; CIC Deployment Plan'!#REF!</f>
        <v>#REF!</v>
      </c>
      <c r="DI29" s="67" t="e">
        <f>'Geo &amp; CIC Deployment Plan'!#REF!</f>
        <v>#REF!</v>
      </c>
      <c r="DJ29" s="67"/>
      <c r="DK29" s="67" t="e">
        <f>'Geo &amp; CIC Deployment Plan'!#REF!</f>
        <v>#REF!</v>
      </c>
      <c r="DL29" s="67" t="e">
        <f>'Geo &amp; CIC Deployment Plan'!#REF!</f>
        <v>#REF!</v>
      </c>
      <c r="DM29" s="69" t="e">
        <f>'Geo &amp; CIC Deployment Plan'!#REF!</f>
        <v>#REF!</v>
      </c>
      <c r="DN29" s="69"/>
      <c r="DO29" s="65" t="s">
        <v>1452</v>
      </c>
      <c r="DP29" s="65" t="s">
        <v>1311</v>
      </c>
      <c r="DQ29" s="77" t="s">
        <v>1572</v>
      </c>
      <c r="DR29" s="67" t="str">
        <f>'Geo &amp; CIC Deployment Plan'!AG$466</f>
        <v>New GBS Associates Induction</v>
      </c>
      <c r="DS29" s="67" t="str">
        <f>'Geo &amp; CIC Deployment Plan'!AH$466</f>
        <v>Virtual</v>
      </c>
      <c r="DT29" s="67" t="str">
        <f>'Geo &amp; CIC Deployment Plan'!Z$466</f>
        <v>In Progress</v>
      </c>
      <c r="DU29" s="67">
        <f>'Geo &amp; CIC Deployment Plan'!AB$466</f>
        <v>0</v>
      </c>
      <c r="DV29" s="67">
        <f>'Geo &amp; CIC Deployment Plan'!AD$466</f>
        <v>0</v>
      </c>
      <c r="DW29" s="67"/>
      <c r="DX29" s="67">
        <f>'Geo &amp; CIC Deployment Plan'!AE$466</f>
        <v>0</v>
      </c>
      <c r="DY29" s="67">
        <f>'Geo &amp; CIC Deployment Plan'!AF$466</f>
        <v>0</v>
      </c>
      <c r="DZ29" s="69">
        <f>'Geo &amp; CIC Deployment Plan'!U466</f>
        <v>25</v>
      </c>
      <c r="EA29" s="69"/>
      <c r="EB29" s="75"/>
      <c r="EC29" s="75"/>
      <c r="ED29" s="75"/>
      <c r="EE29" s="75"/>
      <c r="EF29" s="75"/>
      <c r="EG29" s="75"/>
      <c r="EH29" s="75"/>
      <c r="EI29" s="75"/>
      <c r="EJ29" s="75"/>
      <c r="EK29" s="75"/>
      <c r="EL29" s="75"/>
      <c r="EM29" s="75"/>
      <c r="EN29" s="75"/>
      <c r="EO29" s="75"/>
      <c r="EP29" s="75"/>
      <c r="EQ29" s="75"/>
      <c r="ER29" s="75"/>
      <c r="ES29" s="75"/>
      <c r="ET29" s="75"/>
      <c r="EU29" s="75"/>
      <c r="EV29" s="75"/>
      <c r="EW29" s="75"/>
      <c r="EX29" s="75"/>
      <c r="EY29" s="75"/>
      <c r="EZ29" s="75"/>
      <c r="FA29" s="75"/>
      <c r="FC29" s="49"/>
      <c r="FD29" s="49"/>
      <c r="FE29" s="49"/>
      <c r="FF29" s="49"/>
      <c r="FG29" s="49"/>
      <c r="FH29" s="49"/>
      <c r="FI29" s="49"/>
      <c r="FJ29" s="49"/>
      <c r="FK29" s="49"/>
      <c r="FL29" s="49"/>
      <c r="FM29" s="49"/>
      <c r="FN29" s="49"/>
      <c r="FO29" s="49"/>
      <c r="FP29" s="49"/>
      <c r="FQ29" s="49"/>
      <c r="FR29" s="49"/>
      <c r="FS29" s="49"/>
      <c r="FT29" s="49"/>
      <c r="FU29" s="49"/>
      <c r="FV29" s="49"/>
      <c r="FX29" s="51"/>
      <c r="FY29" s="51"/>
      <c r="FZ29" s="51"/>
      <c r="GA29" s="51"/>
      <c r="GC29" s="41"/>
    </row>
    <row r="30" spans="4:185" s="35" customFormat="1">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65"/>
      <c r="AR30" s="65"/>
      <c r="AS30" s="65"/>
      <c r="AT30" s="65"/>
      <c r="AU30" s="65"/>
      <c r="AV30" s="65"/>
      <c r="AW30" s="65"/>
      <c r="AX30" s="65"/>
      <c r="AY30" s="65"/>
      <c r="AZ30" s="65"/>
      <c r="BA30" s="65"/>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65"/>
      <c r="CE30" s="65"/>
      <c r="CF30" s="65"/>
      <c r="CG30" s="65"/>
      <c r="CH30" s="65"/>
      <c r="CI30" s="65"/>
      <c r="CJ30" s="65"/>
      <c r="CK30" s="65"/>
      <c r="CL30" s="65"/>
      <c r="CM30" s="65"/>
      <c r="CN30" s="65"/>
      <c r="CO30" s="65"/>
      <c r="CP30" s="65"/>
      <c r="CQ30" s="548" t="s">
        <v>1476</v>
      </c>
      <c r="CR30" s="549"/>
      <c r="CS30" s="549"/>
      <c r="CT30" s="549"/>
      <c r="CU30" s="549"/>
      <c r="CV30" s="549"/>
      <c r="CW30" s="549"/>
      <c r="CX30" s="549"/>
      <c r="CY30" s="549"/>
      <c r="CZ30" s="549"/>
      <c r="DA30" s="550"/>
      <c r="DB30" s="76"/>
      <c r="DC30" s="76"/>
      <c r="DD30" s="76"/>
      <c r="DE30" s="76"/>
      <c r="DF30" s="76"/>
      <c r="DG30" s="76"/>
      <c r="DH30" s="76"/>
      <c r="DI30" s="76"/>
      <c r="DJ30" s="76"/>
      <c r="DK30" s="76"/>
      <c r="DL30" s="76"/>
      <c r="DM30" s="76"/>
      <c r="DN30" s="76"/>
      <c r="DO30" s="76"/>
      <c r="DP30" s="76"/>
      <c r="DQ30" s="548" t="s">
        <v>1441</v>
      </c>
      <c r="DR30" s="549"/>
      <c r="DS30" s="549"/>
      <c r="DT30" s="549"/>
      <c r="DU30" s="549"/>
      <c r="DV30" s="549"/>
      <c r="DW30" s="549"/>
      <c r="DX30" s="549"/>
      <c r="DY30" s="549"/>
      <c r="DZ30" s="549"/>
      <c r="EA30" s="550"/>
      <c r="EB30" s="75"/>
      <c r="EC30" s="75"/>
      <c r="ED30" s="75"/>
      <c r="EE30" s="75"/>
      <c r="EF30" s="75"/>
      <c r="EG30" s="75"/>
      <c r="EH30" s="75"/>
      <c r="EI30" s="75"/>
      <c r="EJ30" s="75"/>
      <c r="EK30" s="75"/>
      <c r="EL30" s="75"/>
      <c r="EM30" s="75"/>
      <c r="EN30" s="75"/>
      <c r="EO30" s="75"/>
      <c r="EP30" s="75"/>
      <c r="EQ30" s="75"/>
      <c r="ER30" s="75"/>
      <c r="ES30" s="75"/>
      <c r="ET30" s="75"/>
      <c r="EU30" s="75"/>
      <c r="EV30" s="75"/>
      <c r="EW30" s="75"/>
      <c r="EX30" s="75"/>
      <c r="EY30" s="75"/>
      <c r="EZ30" s="75"/>
      <c r="FA30" s="75"/>
      <c r="FC30" s="49"/>
      <c r="FD30" s="49"/>
      <c r="FE30" s="49"/>
      <c r="FF30" s="49"/>
      <c r="FG30" s="49"/>
      <c r="FH30" s="49"/>
      <c r="FI30" s="49"/>
      <c r="FJ30" s="49"/>
      <c r="FK30" s="49"/>
      <c r="FL30" s="49"/>
      <c r="FM30" s="49"/>
      <c r="FN30" s="49"/>
      <c r="FO30" s="49"/>
      <c r="FP30" s="49"/>
      <c r="FQ30" s="49"/>
      <c r="FR30" s="49"/>
      <c r="FS30" s="49"/>
      <c r="FT30" s="49"/>
      <c r="FU30" s="49"/>
      <c r="FV30" s="49"/>
      <c r="FX30" s="51"/>
      <c r="FY30" s="51"/>
      <c r="FZ30" s="51"/>
      <c r="GA30" s="51"/>
      <c r="GC30" s="41"/>
    </row>
    <row r="31" spans="4:185" s="35" customFormat="1" ht="24">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65"/>
      <c r="AR31" s="65"/>
      <c r="AS31" s="65"/>
      <c r="AT31" s="65"/>
      <c r="AU31" s="65"/>
      <c r="AV31" s="65"/>
      <c r="AW31" s="65"/>
      <c r="AX31" s="65"/>
      <c r="AY31" s="65"/>
      <c r="AZ31" s="65"/>
      <c r="BA31" s="65"/>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65"/>
      <c r="CE31" s="65"/>
      <c r="CF31" s="65"/>
      <c r="CG31" s="65"/>
      <c r="CH31" s="65"/>
      <c r="CI31" s="65"/>
      <c r="CJ31" s="65"/>
      <c r="CK31" s="65"/>
      <c r="CL31" s="65"/>
      <c r="CM31" s="65"/>
      <c r="CN31" s="65"/>
      <c r="CO31" s="65" t="s">
        <v>1452</v>
      </c>
      <c r="CP31" s="65" t="s">
        <v>1311</v>
      </c>
      <c r="CQ31" s="77" t="s">
        <v>1573</v>
      </c>
      <c r="CR31" s="67" t="e">
        <f>'Geo &amp; CIC Deployment Plan'!#REF!</f>
        <v>#REF!</v>
      </c>
      <c r="CS31" s="67" t="e">
        <f>'Geo &amp; CIC Deployment Plan'!#REF!</f>
        <v>#REF!</v>
      </c>
      <c r="CT31" s="67" t="e">
        <f>'Geo &amp; CIC Deployment Plan'!#REF!</f>
        <v>#REF!</v>
      </c>
      <c r="CU31" s="67" t="e">
        <f>'Geo &amp; CIC Deployment Plan'!#REF!</f>
        <v>#REF!</v>
      </c>
      <c r="CV31" s="67" t="e">
        <f>'Geo &amp; CIC Deployment Plan'!#REF!</f>
        <v>#REF!</v>
      </c>
      <c r="CW31" s="67"/>
      <c r="CX31" s="67" t="e">
        <f>'Geo &amp; CIC Deployment Plan'!#REF!</f>
        <v>#REF!</v>
      </c>
      <c r="CY31" s="67" t="e">
        <f>'Geo &amp; CIC Deployment Plan'!#REF!</f>
        <v>#REF!</v>
      </c>
      <c r="CZ31" s="69" t="e">
        <f>'Geo &amp; CIC Deployment Plan'!#REF!</f>
        <v>#REF!</v>
      </c>
      <c r="DA31" s="69"/>
      <c r="DB31" s="75"/>
      <c r="DC31" s="75"/>
      <c r="DD31" s="75"/>
      <c r="DE31" s="75"/>
      <c r="DF31" s="75"/>
      <c r="DG31" s="75"/>
      <c r="DH31" s="75"/>
      <c r="DI31" s="75"/>
      <c r="DJ31" s="75"/>
      <c r="DK31" s="75"/>
      <c r="DL31" s="75"/>
      <c r="DM31" s="75"/>
      <c r="DN31" s="75"/>
      <c r="DO31" s="75" t="s">
        <v>1258</v>
      </c>
      <c r="DP31" s="75" t="s">
        <v>1450</v>
      </c>
      <c r="DQ31" s="77" t="s">
        <v>1574</v>
      </c>
      <c r="DR31" s="67" t="str">
        <f>'Geo &amp; CIC Deployment Plan'!AG$155</f>
        <v>New GBS Associates Induction</v>
      </c>
      <c r="DS31" s="67" t="str">
        <f>'Geo &amp; CIC Deployment Plan'!AH$155</f>
        <v>Virtual</v>
      </c>
      <c r="DT31" s="67" t="str">
        <f>'Geo &amp; CIC Deployment Plan'!Z$155</f>
        <v>Complete</v>
      </c>
      <c r="DU31" s="67" t="str">
        <f>'Geo &amp; CIC Deployment Plan'!AB$155</f>
        <v>Complete</v>
      </c>
      <c r="DV31" s="67" t="str">
        <f>'Geo &amp; CIC Deployment Plan'!AD$155</f>
        <v>Planned</v>
      </c>
      <c r="DW31" s="67"/>
      <c r="DX31" s="67" t="str">
        <f>'Geo &amp; CIC Deployment Plan'!AE$155</f>
        <v>Planned</v>
      </c>
      <c r="DY31" s="67" t="str">
        <f>'Geo &amp; CIC Deployment Plan'!AF$155</f>
        <v>Planned</v>
      </c>
      <c r="DZ31" s="69">
        <f>'Geo &amp; CIC Deployment Plan'!V155</f>
        <v>26</v>
      </c>
      <c r="EA31" s="69"/>
      <c r="EB31" s="75"/>
      <c r="EC31" s="75"/>
      <c r="ED31" s="75"/>
      <c r="EE31" s="75"/>
      <c r="EF31" s="75"/>
      <c r="EG31" s="75"/>
      <c r="EH31" s="75"/>
      <c r="EI31" s="75"/>
      <c r="EJ31" s="75"/>
      <c r="EK31" s="75"/>
      <c r="EL31" s="75"/>
      <c r="EM31" s="75"/>
      <c r="EN31" s="75"/>
      <c r="EO31" s="75"/>
      <c r="EP31" s="75"/>
      <c r="EQ31" s="75"/>
      <c r="ER31" s="75"/>
      <c r="ES31" s="75"/>
      <c r="ET31" s="75"/>
      <c r="EU31" s="75"/>
      <c r="EV31" s="75"/>
      <c r="EW31" s="75"/>
      <c r="EX31" s="75"/>
      <c r="EY31" s="75"/>
      <c r="EZ31" s="75"/>
      <c r="FA31" s="75"/>
      <c r="FC31" s="49"/>
      <c r="FD31" s="49"/>
      <c r="FE31" s="49"/>
      <c r="FF31" s="49"/>
      <c r="FG31" s="49"/>
      <c r="FH31" s="49"/>
      <c r="FI31" s="49"/>
      <c r="FJ31" s="49"/>
      <c r="FK31" s="49"/>
      <c r="FL31" s="49"/>
      <c r="FM31" s="49"/>
      <c r="FN31" s="49"/>
      <c r="FO31" s="49"/>
      <c r="FP31" s="49"/>
      <c r="FQ31" s="49"/>
      <c r="FR31" s="49"/>
      <c r="FS31" s="49"/>
      <c r="FT31" s="49"/>
      <c r="FU31" s="49"/>
      <c r="FV31" s="49"/>
      <c r="FX31" s="51"/>
      <c r="FY31" s="51"/>
      <c r="FZ31" s="51"/>
      <c r="GA31" s="51"/>
      <c r="GC31" s="41"/>
    </row>
    <row r="32" spans="4:185" s="35" customFormat="1" ht="24">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65"/>
      <c r="CE32" s="65"/>
      <c r="CF32" s="65"/>
      <c r="CG32" s="65"/>
      <c r="CH32" s="65"/>
      <c r="CI32" s="65"/>
      <c r="CJ32" s="65"/>
      <c r="CK32" s="65"/>
      <c r="CL32" s="65"/>
      <c r="CM32" s="65"/>
      <c r="CN32" s="65"/>
      <c r="CO32" s="76"/>
      <c r="CP32" s="76"/>
      <c r="CQ32" s="478" t="s">
        <v>1461</v>
      </c>
      <c r="CR32" s="479"/>
      <c r="CS32" s="479"/>
      <c r="CT32" s="479"/>
      <c r="CU32" s="479"/>
      <c r="CV32" s="479"/>
      <c r="CW32" s="479"/>
      <c r="CX32" s="479"/>
      <c r="CY32" s="479"/>
      <c r="CZ32" s="479"/>
      <c r="DA32" s="480"/>
      <c r="DB32" s="75"/>
      <c r="DC32" s="75"/>
      <c r="DD32" s="75"/>
      <c r="DE32" s="75"/>
      <c r="DF32" s="75"/>
      <c r="DG32" s="75"/>
      <c r="DH32" s="75"/>
      <c r="DI32" s="75"/>
      <c r="DJ32" s="75"/>
      <c r="DK32" s="75"/>
      <c r="DL32" s="75"/>
      <c r="DM32" s="75"/>
      <c r="DN32" s="75"/>
      <c r="EB32" s="76"/>
      <c r="EC32" s="76"/>
      <c r="ED32" s="76"/>
      <c r="EE32" s="76"/>
      <c r="EF32" s="76"/>
      <c r="EG32" s="76"/>
      <c r="EH32" s="76"/>
      <c r="EI32" s="76"/>
      <c r="EJ32" s="76"/>
      <c r="EK32" s="76"/>
      <c r="EL32" s="76"/>
      <c r="EM32" s="76"/>
      <c r="EN32" s="76"/>
      <c r="EO32" s="76"/>
      <c r="EP32" s="76"/>
      <c r="EQ32" s="76"/>
      <c r="ER32" s="76"/>
      <c r="ES32" s="76"/>
      <c r="ET32" s="76"/>
      <c r="EU32" s="76"/>
      <c r="EV32" s="76"/>
      <c r="EW32" s="76"/>
      <c r="EX32" s="76"/>
      <c r="EY32" s="76"/>
      <c r="EZ32" s="76"/>
      <c r="FA32" s="76"/>
      <c r="FC32" s="49"/>
      <c r="FD32" s="49"/>
      <c r="FE32" s="49"/>
      <c r="FF32" s="49"/>
      <c r="FG32" s="49"/>
      <c r="FH32" s="49"/>
      <c r="FI32" s="49"/>
      <c r="FJ32" s="49"/>
      <c r="FK32" s="49"/>
      <c r="FL32" s="49"/>
      <c r="FM32" s="49"/>
      <c r="FN32" s="49"/>
      <c r="FO32" s="49"/>
      <c r="FP32" s="49"/>
      <c r="FQ32" s="49"/>
      <c r="FR32" s="49"/>
      <c r="FS32" s="49"/>
      <c r="FT32" s="49"/>
      <c r="FU32" s="49"/>
      <c r="FV32" s="49"/>
      <c r="FX32" s="51"/>
      <c r="FY32" s="51"/>
      <c r="FZ32" s="51"/>
      <c r="GA32" s="51"/>
      <c r="GC32" s="41"/>
    </row>
    <row r="33" spans="1:235" s="35" customFormat="1" ht="24">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5"/>
      <c r="CE33" s="75"/>
      <c r="CF33" s="75"/>
      <c r="CG33" s="75"/>
      <c r="CH33" s="75"/>
      <c r="CI33" s="75"/>
      <c r="CJ33" s="75"/>
      <c r="CK33" s="75"/>
      <c r="CL33" s="75"/>
      <c r="CM33" s="75"/>
      <c r="CN33" s="75"/>
      <c r="CO33" s="75" t="s">
        <v>1452</v>
      </c>
      <c r="CP33" s="75" t="s">
        <v>1310</v>
      </c>
      <c r="CQ33" s="77" t="s">
        <v>1575</v>
      </c>
      <c r="CR33" s="67" t="str">
        <f>'Geo &amp; CIC Deployment Plan'!AG432</f>
        <v>New GBS Associates Induction</v>
      </c>
      <c r="CS33" s="67" t="str">
        <f>'Geo &amp; CIC Deployment Plan'!AH432</f>
        <v>Virtual</v>
      </c>
      <c r="CT33" s="67" t="str">
        <f>'Geo &amp; CIC Deployment Plan'!Z432</f>
        <v>In Progress</v>
      </c>
      <c r="CU33" s="67">
        <f>'Geo &amp; CIC Deployment Plan'!AB432</f>
        <v>0</v>
      </c>
      <c r="CV33" s="67">
        <f>'Geo &amp; CIC Deployment Plan'!AD432</f>
        <v>0</v>
      </c>
      <c r="CW33" s="67"/>
      <c r="CX33" s="67">
        <f>'Geo &amp; CIC Deployment Plan'!AE432</f>
        <v>0</v>
      </c>
      <c r="CY33" s="67">
        <f>'Geo &amp; CIC Deployment Plan'!AF432</f>
        <v>0</v>
      </c>
      <c r="CZ33" s="69">
        <f>'Geo &amp; CIC Deployment Plan'!U432</f>
        <v>10</v>
      </c>
      <c r="DA33" s="69"/>
      <c r="DB33" s="75"/>
      <c r="DC33" s="75"/>
      <c r="DD33" s="75"/>
      <c r="DE33" s="75"/>
      <c r="DF33" s="75"/>
      <c r="DG33" s="75"/>
      <c r="DH33" s="75"/>
      <c r="DI33" s="75"/>
      <c r="DJ33" s="75"/>
      <c r="DK33" s="75"/>
      <c r="DL33" s="75"/>
      <c r="DM33" s="75"/>
      <c r="DN33" s="75"/>
      <c r="DO33" s="76"/>
      <c r="DP33" s="76"/>
      <c r="DQ33" s="76"/>
      <c r="DR33" s="76"/>
      <c r="DS33" s="76"/>
      <c r="DT33" s="76"/>
      <c r="DU33" s="76"/>
      <c r="DV33" s="76"/>
      <c r="DW33" s="76"/>
      <c r="DX33" s="76"/>
      <c r="DY33" s="76"/>
      <c r="DZ33" s="76"/>
      <c r="EA33" s="76"/>
      <c r="EB33" s="76"/>
      <c r="EC33" s="76"/>
      <c r="ED33" s="76"/>
      <c r="EE33" s="76"/>
      <c r="EF33" s="76"/>
      <c r="EG33" s="76"/>
      <c r="EH33" s="76"/>
      <c r="EI33" s="76"/>
      <c r="EJ33" s="76"/>
      <c r="EK33" s="76"/>
      <c r="EL33" s="76"/>
      <c r="EM33" s="76"/>
      <c r="EN33" s="76"/>
      <c r="EO33" s="76"/>
      <c r="EP33" s="76"/>
      <c r="EQ33" s="76"/>
      <c r="ER33" s="76"/>
      <c r="ES33" s="76"/>
      <c r="ET33" s="76"/>
      <c r="EU33" s="76"/>
      <c r="EV33" s="76"/>
      <c r="EW33" s="76"/>
      <c r="EX33" s="76"/>
      <c r="EY33" s="76"/>
      <c r="EZ33" s="76"/>
      <c r="FA33" s="76"/>
      <c r="FC33" s="49"/>
      <c r="FD33" s="49"/>
      <c r="FE33" s="49"/>
      <c r="FF33" s="49"/>
      <c r="FG33" s="49"/>
      <c r="FH33" s="49"/>
      <c r="FI33" s="49"/>
      <c r="FJ33" s="49"/>
      <c r="FK33" s="49"/>
      <c r="FL33" s="49"/>
      <c r="FM33" s="49"/>
      <c r="FN33" s="49"/>
      <c r="FO33" s="49"/>
      <c r="FP33" s="49"/>
      <c r="FQ33" s="49"/>
      <c r="FR33" s="49"/>
      <c r="FS33" s="49"/>
      <c r="FT33" s="49"/>
      <c r="FU33" s="49"/>
      <c r="FV33" s="49"/>
      <c r="FX33" s="51"/>
      <c r="FY33" s="51"/>
      <c r="FZ33" s="51"/>
      <c r="GA33" s="51"/>
      <c r="GC33" s="41"/>
    </row>
    <row r="34" spans="1:235" s="35" customFormat="1" ht="15" customHeight="1">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5"/>
      <c r="CE34" s="75"/>
      <c r="CF34" s="75"/>
      <c r="CG34" s="75"/>
      <c r="CH34" s="75"/>
      <c r="CI34" s="75"/>
      <c r="CJ34" s="75"/>
      <c r="CK34" s="75"/>
      <c r="CL34" s="75"/>
      <c r="CM34" s="75"/>
      <c r="CN34" s="75"/>
      <c r="CO34" s="75"/>
      <c r="CP34" s="75"/>
      <c r="CQ34" s="548" t="s">
        <v>1439</v>
      </c>
      <c r="CR34" s="549"/>
      <c r="CS34" s="549"/>
      <c r="CT34" s="549"/>
      <c r="CU34" s="549"/>
      <c r="CV34" s="549"/>
      <c r="CW34" s="549"/>
      <c r="CX34" s="549"/>
      <c r="CY34" s="549"/>
      <c r="CZ34" s="549"/>
      <c r="DA34" s="550"/>
      <c r="DB34" s="75"/>
      <c r="DC34" s="75"/>
      <c r="DD34" s="75"/>
      <c r="DE34" s="75"/>
      <c r="DF34" s="75"/>
      <c r="DG34" s="75"/>
      <c r="DH34" s="75"/>
      <c r="DI34" s="75"/>
      <c r="DJ34" s="75"/>
      <c r="DK34" s="75"/>
      <c r="DL34" s="75"/>
      <c r="DM34" s="75"/>
      <c r="DN34" s="75"/>
      <c r="DO34" s="76"/>
      <c r="DP34" s="76"/>
      <c r="DQ34" s="76"/>
      <c r="DR34" s="76"/>
      <c r="DS34" s="76"/>
      <c r="DT34" s="76"/>
      <c r="DU34" s="76"/>
      <c r="DV34" s="76"/>
      <c r="DW34" s="76"/>
      <c r="DX34" s="76"/>
      <c r="DY34" s="76"/>
      <c r="DZ34" s="76"/>
      <c r="EA34" s="76"/>
      <c r="EB34" s="76"/>
      <c r="EC34" s="76"/>
      <c r="ED34" s="76"/>
      <c r="EE34" s="76"/>
      <c r="EF34" s="76"/>
      <c r="EG34" s="76"/>
      <c r="EH34" s="76"/>
      <c r="EI34" s="76"/>
      <c r="EJ34" s="76"/>
      <c r="EK34" s="76"/>
      <c r="EL34" s="76"/>
      <c r="EM34" s="76"/>
      <c r="EN34" s="76"/>
      <c r="EO34" s="76"/>
      <c r="EP34" s="76"/>
      <c r="EQ34" s="76"/>
      <c r="ER34" s="76"/>
      <c r="ES34" s="76"/>
      <c r="ET34" s="76"/>
      <c r="EU34" s="76"/>
      <c r="EV34" s="76"/>
      <c r="EW34" s="76"/>
      <c r="EX34" s="76"/>
      <c r="EY34" s="76"/>
      <c r="EZ34" s="76"/>
      <c r="FA34" s="76"/>
      <c r="FC34" s="49"/>
      <c r="FD34" s="49"/>
      <c r="FE34" s="49"/>
      <c r="FF34" s="49"/>
      <c r="FG34" s="49"/>
      <c r="FH34" s="49"/>
      <c r="FI34" s="49"/>
      <c r="FJ34" s="49"/>
      <c r="FK34" s="49"/>
      <c r="FL34" s="49"/>
      <c r="FM34" s="49"/>
      <c r="FN34" s="49"/>
      <c r="FO34" s="49"/>
      <c r="FP34" s="49"/>
      <c r="FQ34" s="49"/>
      <c r="FR34" s="49"/>
      <c r="FS34" s="49"/>
      <c r="FT34" s="49"/>
      <c r="FU34" s="49"/>
      <c r="FV34" s="49"/>
      <c r="FX34" s="51"/>
      <c r="FY34" s="51"/>
      <c r="FZ34" s="51"/>
      <c r="GA34" s="51"/>
      <c r="GC34" s="41"/>
    </row>
    <row r="35" spans="1:235" s="35" customFormat="1" ht="24">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5"/>
      <c r="CE35" s="75"/>
      <c r="CF35" s="75"/>
      <c r="CG35" s="75"/>
      <c r="CH35" s="75"/>
      <c r="CI35" s="75"/>
      <c r="CJ35" s="75"/>
      <c r="CK35" s="75"/>
      <c r="CL35" s="75"/>
      <c r="CM35" s="75"/>
      <c r="CN35" s="75"/>
      <c r="CO35" s="75" t="s">
        <v>1258</v>
      </c>
      <c r="CP35" s="75" t="s">
        <v>390</v>
      </c>
      <c r="CQ35" s="77" t="s">
        <v>1576</v>
      </c>
      <c r="CR35" s="67" t="e">
        <f>'Geo &amp; CIC Deployment Plan'!#REF!</f>
        <v>#REF!</v>
      </c>
      <c r="CS35" s="67" t="e">
        <f>'Geo &amp; CIC Deployment Plan'!#REF!</f>
        <v>#REF!</v>
      </c>
      <c r="CT35" s="67" t="e">
        <f>'Geo &amp; CIC Deployment Plan'!#REF!</f>
        <v>#REF!</v>
      </c>
      <c r="CU35" s="67" t="e">
        <f>'Geo &amp; CIC Deployment Plan'!#REF!</f>
        <v>#REF!</v>
      </c>
      <c r="CV35" s="67" t="e">
        <f>'Geo &amp; CIC Deployment Plan'!#REF!</f>
        <v>#REF!</v>
      </c>
      <c r="CW35" s="67"/>
      <c r="CX35" s="67" t="e">
        <f>'Geo &amp; CIC Deployment Plan'!#REF!</f>
        <v>#REF!</v>
      </c>
      <c r="CY35" s="67" t="e">
        <f>'Geo &amp; CIC Deployment Plan'!#REF!</f>
        <v>#REF!</v>
      </c>
      <c r="CZ35" s="69" t="e">
        <f>'Geo &amp; CIC Deployment Plan'!#REF!</f>
        <v>#REF!</v>
      </c>
      <c r="DA35" s="69"/>
      <c r="DB35" s="75"/>
      <c r="DC35" s="75"/>
      <c r="DD35" s="75"/>
      <c r="DE35" s="75"/>
      <c r="DF35" s="75"/>
      <c r="DG35" s="75"/>
      <c r="DH35" s="75"/>
      <c r="DI35" s="75"/>
      <c r="DJ35" s="75"/>
      <c r="DK35" s="75"/>
      <c r="DL35" s="75"/>
      <c r="DM35" s="75"/>
      <c r="DN35" s="75"/>
      <c r="DO35" s="76"/>
      <c r="DP35" s="76"/>
      <c r="DQ35" s="76"/>
      <c r="DR35" s="76"/>
      <c r="DS35" s="76"/>
      <c r="DT35" s="76"/>
      <c r="DU35" s="76"/>
      <c r="DV35" s="76"/>
      <c r="DW35" s="76"/>
      <c r="DX35" s="76"/>
      <c r="DY35" s="76"/>
      <c r="DZ35" s="76"/>
      <c r="EA35" s="76"/>
      <c r="EB35" s="76"/>
      <c r="EC35" s="76"/>
      <c r="ED35" s="76"/>
      <c r="EE35" s="76"/>
      <c r="EF35" s="76"/>
      <c r="EG35" s="76"/>
      <c r="EH35" s="76"/>
      <c r="EI35" s="76"/>
      <c r="EJ35" s="76"/>
      <c r="EK35" s="76"/>
      <c r="EL35" s="76"/>
      <c r="EM35" s="76"/>
      <c r="EN35" s="76"/>
      <c r="EO35" s="76"/>
      <c r="EP35" s="76"/>
      <c r="EQ35" s="76"/>
      <c r="ER35" s="76"/>
      <c r="ES35" s="76"/>
      <c r="ET35" s="76"/>
      <c r="EU35" s="76"/>
      <c r="EV35" s="76"/>
      <c r="EW35" s="76"/>
      <c r="EX35" s="76"/>
      <c r="EY35" s="76"/>
      <c r="EZ35" s="76"/>
      <c r="FA35" s="76"/>
      <c r="FC35" s="49"/>
      <c r="FD35" s="49"/>
      <c r="FE35" s="49"/>
      <c r="FF35" s="49"/>
      <c r="FG35" s="49"/>
      <c r="FH35" s="49"/>
      <c r="FI35" s="49"/>
      <c r="FJ35" s="49"/>
      <c r="FK35" s="49"/>
      <c r="FL35" s="49"/>
      <c r="FM35" s="49"/>
      <c r="FN35" s="49"/>
      <c r="FO35" s="49"/>
      <c r="FP35" s="49"/>
      <c r="FQ35" s="49"/>
      <c r="FR35" s="49"/>
      <c r="FS35" s="49"/>
      <c r="FT35" s="49"/>
      <c r="FU35" s="49"/>
      <c r="FV35" s="49"/>
      <c r="FX35" s="51"/>
      <c r="FY35" s="51"/>
      <c r="FZ35" s="51"/>
      <c r="GA35" s="51"/>
      <c r="GC35" s="41"/>
    </row>
    <row r="36" spans="1:235" s="35" customFormat="1">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5"/>
      <c r="CE36" s="75"/>
      <c r="CF36" s="75"/>
      <c r="CG36" s="75"/>
      <c r="CH36" s="75"/>
      <c r="CI36" s="75"/>
      <c r="CJ36" s="75"/>
      <c r="CK36" s="75"/>
      <c r="CL36" s="75"/>
      <c r="CM36" s="75"/>
      <c r="CN36" s="75"/>
      <c r="CO36" s="75"/>
      <c r="CP36" s="75"/>
      <c r="CQ36" s="586"/>
      <c r="CR36" s="586"/>
      <c r="CS36" s="586"/>
      <c r="CT36" s="586"/>
      <c r="CU36" s="586"/>
      <c r="CV36" s="586"/>
      <c r="CW36" s="586"/>
      <c r="CX36" s="586"/>
      <c r="CY36" s="586"/>
      <c r="CZ36" s="586"/>
      <c r="DA36" s="586"/>
      <c r="DB36" s="75"/>
      <c r="DC36" s="75"/>
      <c r="DD36" s="75"/>
      <c r="DE36" s="75"/>
      <c r="DF36" s="75"/>
      <c r="DG36" s="75"/>
      <c r="DH36" s="75"/>
      <c r="DI36" s="75"/>
      <c r="DJ36" s="75"/>
      <c r="DK36" s="75"/>
      <c r="DL36" s="75"/>
      <c r="DM36" s="75"/>
      <c r="DN36" s="75"/>
      <c r="DO36" s="76"/>
      <c r="DP36" s="76"/>
      <c r="DQ36" s="76"/>
      <c r="DR36" s="76"/>
      <c r="DS36" s="76"/>
      <c r="DT36" s="76"/>
      <c r="DU36" s="76"/>
      <c r="DV36" s="76"/>
      <c r="DW36" s="76"/>
      <c r="DX36" s="76"/>
      <c r="DY36" s="76"/>
      <c r="DZ36" s="76"/>
      <c r="EA36" s="76"/>
      <c r="EB36" s="76"/>
      <c r="EC36" s="76"/>
      <c r="ED36" s="76"/>
      <c r="EE36" s="76"/>
      <c r="EF36" s="76"/>
      <c r="EG36" s="76"/>
      <c r="EH36" s="76"/>
      <c r="EI36" s="76"/>
      <c r="EJ36" s="76"/>
      <c r="EK36" s="76"/>
      <c r="EL36" s="76"/>
      <c r="EM36" s="76"/>
      <c r="EN36" s="76"/>
      <c r="EO36" s="76"/>
      <c r="EP36" s="76"/>
      <c r="EQ36" s="76"/>
      <c r="ER36" s="76"/>
      <c r="ES36" s="76"/>
      <c r="ET36" s="76"/>
      <c r="EU36" s="76"/>
      <c r="EV36" s="76"/>
      <c r="EW36" s="76"/>
      <c r="EX36" s="76"/>
      <c r="EY36" s="76"/>
      <c r="EZ36" s="76"/>
      <c r="FA36" s="76"/>
      <c r="FC36" s="49"/>
      <c r="FD36" s="49"/>
      <c r="FE36" s="49"/>
      <c r="FF36" s="49"/>
      <c r="FG36" s="49"/>
      <c r="FH36" s="49"/>
      <c r="FI36" s="49"/>
      <c r="FJ36" s="49"/>
      <c r="FK36" s="49"/>
      <c r="FL36" s="49"/>
      <c r="FM36" s="49"/>
      <c r="FN36" s="49"/>
      <c r="FO36" s="49"/>
      <c r="FP36" s="49"/>
      <c r="FQ36" s="49"/>
      <c r="FR36" s="49"/>
      <c r="FS36" s="49"/>
      <c r="FT36" s="49"/>
      <c r="FU36" s="49"/>
      <c r="FV36" s="49"/>
      <c r="FX36" s="51"/>
      <c r="FY36" s="51"/>
      <c r="FZ36" s="51"/>
      <c r="GA36" s="51"/>
      <c r="GC36" s="41"/>
    </row>
    <row r="37" spans="1:235" s="35" customFormat="1" ht="24.75" customHeight="1">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5"/>
      <c r="CE37" s="75"/>
      <c r="CF37" s="75"/>
      <c r="CG37" s="75"/>
      <c r="CH37" s="75"/>
      <c r="CI37" s="75"/>
      <c r="CJ37" s="75"/>
      <c r="CK37" s="75"/>
      <c r="CL37" s="75"/>
      <c r="CM37" s="75"/>
      <c r="CN37" s="75"/>
      <c r="CO37" s="75"/>
      <c r="CP37" s="75"/>
      <c r="CQ37" s="79"/>
      <c r="CR37" s="80"/>
      <c r="CS37" s="80"/>
      <c r="CT37" s="80"/>
      <c r="CU37" s="80"/>
      <c r="CV37" s="80"/>
      <c r="CW37" s="80"/>
      <c r="CX37" s="80"/>
      <c r="CY37" s="80"/>
      <c r="CZ37" s="75"/>
      <c r="DA37" s="75"/>
      <c r="DB37" s="75"/>
      <c r="DC37" s="75"/>
      <c r="DD37" s="75"/>
      <c r="DE37" s="75"/>
      <c r="DF37" s="75"/>
      <c r="DG37" s="75"/>
      <c r="DH37" s="75"/>
      <c r="DI37" s="75"/>
      <c r="DJ37" s="75"/>
      <c r="DK37" s="75"/>
      <c r="DL37" s="75"/>
      <c r="DM37" s="75"/>
      <c r="DN37" s="75"/>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c r="EM37" s="76"/>
      <c r="EN37" s="76"/>
      <c r="EO37" s="76"/>
      <c r="EP37" s="76"/>
      <c r="EQ37" s="76"/>
      <c r="ER37" s="76"/>
      <c r="ES37" s="76"/>
      <c r="ET37" s="76"/>
      <c r="EU37" s="76"/>
      <c r="EV37" s="76"/>
      <c r="EW37" s="76"/>
      <c r="EX37" s="76"/>
      <c r="EY37" s="76"/>
      <c r="EZ37" s="76"/>
      <c r="FA37" s="76"/>
      <c r="FC37" s="49"/>
      <c r="FD37" s="49"/>
      <c r="FE37" s="49"/>
      <c r="FF37" s="49"/>
      <c r="FG37" s="49"/>
      <c r="FH37" s="49"/>
      <c r="FI37" s="49"/>
      <c r="FJ37" s="49"/>
      <c r="FK37" s="49"/>
      <c r="FL37" s="49"/>
      <c r="FM37" s="49"/>
      <c r="FN37" s="49"/>
      <c r="FO37" s="49"/>
      <c r="FP37" s="49"/>
      <c r="FQ37" s="49"/>
      <c r="FR37" s="49"/>
      <c r="FS37" s="49"/>
      <c r="FT37" s="49"/>
      <c r="FU37" s="49"/>
      <c r="FV37" s="49"/>
      <c r="FX37" s="51"/>
      <c r="FY37" s="51"/>
      <c r="FZ37" s="51"/>
      <c r="GA37" s="51"/>
      <c r="GC37" s="41"/>
    </row>
    <row r="38" spans="1:235" s="29" customFormat="1">
      <c r="A38" s="35"/>
      <c r="B38" s="35"/>
      <c r="C38" s="35"/>
      <c r="D38" s="35"/>
      <c r="E38" s="35"/>
      <c r="F38" s="35"/>
      <c r="G38" s="35"/>
      <c r="H38" s="35"/>
      <c r="I38" s="43"/>
      <c r="J38" s="43"/>
      <c r="K38" s="35"/>
      <c r="L38" s="35"/>
      <c r="M38" s="35"/>
      <c r="N38" s="35"/>
      <c r="O38" s="35"/>
      <c r="P38" s="35"/>
      <c r="Q38" s="35"/>
      <c r="R38" s="35"/>
      <c r="S38" s="35"/>
      <c r="T38" s="35"/>
      <c r="U38" s="35"/>
      <c r="V38" s="43"/>
      <c r="W38" s="43"/>
      <c r="X38" s="35"/>
      <c r="Y38" s="35"/>
      <c r="Z38" s="35"/>
      <c r="AA38" s="35"/>
      <c r="AB38" s="35"/>
      <c r="AC38" s="35"/>
      <c r="AD38" s="35"/>
      <c r="AE38" s="35"/>
      <c r="AF38" s="35"/>
      <c r="AG38" s="35"/>
      <c r="AH38" s="35"/>
      <c r="AI38" s="43"/>
      <c r="AJ38" s="43"/>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76"/>
      <c r="CC38" s="76"/>
      <c r="CD38" s="75"/>
      <c r="CE38" s="75"/>
      <c r="CF38" s="75"/>
      <c r="CG38" s="75"/>
      <c r="CH38" s="75"/>
      <c r="CI38" s="75"/>
      <c r="CJ38" s="75"/>
      <c r="CK38" s="75"/>
      <c r="CL38" s="75"/>
      <c r="CM38" s="75"/>
      <c r="CN38" s="75"/>
      <c r="CO38" s="36"/>
      <c r="CP38" s="36"/>
      <c r="CQ38" s="57"/>
      <c r="CR38" s="56"/>
      <c r="CS38" s="56"/>
      <c r="CT38" s="56"/>
      <c r="CU38" s="56"/>
      <c r="CV38" s="56"/>
      <c r="CW38" s="56"/>
      <c r="CX38" s="56"/>
      <c r="CY38" s="56"/>
      <c r="CZ38" s="36"/>
      <c r="DA38" s="36"/>
      <c r="DB38" s="36"/>
      <c r="DC38" s="36"/>
      <c r="DD38" s="36"/>
      <c r="DE38" s="36"/>
      <c r="DF38" s="36"/>
      <c r="DG38" s="36"/>
      <c r="DH38" s="36"/>
      <c r="DI38" s="36"/>
      <c r="DJ38" s="36"/>
      <c r="DK38" s="36"/>
      <c r="DL38" s="36"/>
      <c r="DM38" s="36"/>
      <c r="DN38" s="36"/>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49"/>
      <c r="FD38" s="49"/>
      <c r="FE38" s="49"/>
      <c r="FF38" s="49"/>
      <c r="FG38" s="49"/>
      <c r="FH38" s="49"/>
      <c r="FI38" s="49"/>
      <c r="FJ38" s="49"/>
      <c r="FK38" s="49"/>
      <c r="FL38" s="49"/>
      <c r="FM38" s="49"/>
      <c r="FN38" s="49"/>
      <c r="FO38" s="49"/>
      <c r="FP38" s="49"/>
      <c r="FQ38" s="49"/>
      <c r="FR38" s="49"/>
      <c r="FS38" s="49"/>
      <c r="FT38" s="49"/>
      <c r="FU38" s="49"/>
      <c r="FV38" s="49"/>
      <c r="FW38" s="35"/>
      <c r="FX38" s="51"/>
      <c r="FY38" s="51"/>
      <c r="FZ38" s="51"/>
      <c r="GA38" s="51"/>
      <c r="GB38" s="35"/>
      <c r="GC38" s="41"/>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row>
    <row r="39" spans="1:235" s="29" customFormat="1">
      <c r="A39" s="28" t="s">
        <v>1577</v>
      </c>
      <c r="B39" s="28"/>
      <c r="E39" s="31">
        <f>COUNTIFS(E4:E28, "=Legacy")</f>
        <v>0</v>
      </c>
      <c r="F39" s="32" t="s">
        <v>383</v>
      </c>
      <c r="G39" s="32" t="s">
        <v>383</v>
      </c>
      <c r="H39" s="32" t="s">
        <v>383</v>
      </c>
      <c r="I39" s="32" t="s">
        <v>383</v>
      </c>
      <c r="J39" s="32"/>
      <c r="K39" s="32" t="s">
        <v>383</v>
      </c>
      <c r="L39" s="32" t="s">
        <v>383</v>
      </c>
      <c r="Q39" s="30"/>
      <c r="R39" s="31">
        <f>COUNTIFS(R4:R28, "=Legacy")</f>
        <v>0</v>
      </c>
      <c r="S39" s="32" t="s">
        <v>383</v>
      </c>
      <c r="T39" s="32" t="s">
        <v>383</v>
      </c>
      <c r="U39" s="32" t="s">
        <v>383</v>
      </c>
      <c r="V39" s="32" t="s">
        <v>383</v>
      </c>
      <c r="W39" s="32"/>
      <c r="X39" s="32" t="s">
        <v>383</v>
      </c>
      <c r="Y39" s="32" t="s">
        <v>383</v>
      </c>
      <c r="AE39" s="31">
        <f>COUNTIFS(AE4:AE28, "=Legacy")</f>
        <v>0</v>
      </c>
      <c r="AF39" s="32" t="s">
        <v>383</v>
      </c>
      <c r="AG39" s="32" t="s">
        <v>383</v>
      </c>
      <c r="AH39" s="32" t="s">
        <v>383</v>
      </c>
      <c r="AI39" s="32" t="s">
        <v>383</v>
      </c>
      <c r="AJ39" s="32"/>
      <c r="AK39" s="32" t="s">
        <v>383</v>
      </c>
      <c r="AL39" s="32" t="s">
        <v>383</v>
      </c>
      <c r="AR39" s="31">
        <f>COUNTIFS(AR4:AR19, "=Legacy")</f>
        <v>0</v>
      </c>
      <c r="AS39" s="32" t="s">
        <v>383</v>
      </c>
      <c r="AT39" s="32" t="s">
        <v>383</v>
      </c>
      <c r="AU39" s="32" t="s">
        <v>383</v>
      </c>
      <c r="AV39" s="32" t="s">
        <v>383</v>
      </c>
      <c r="AW39" s="32"/>
      <c r="AX39" s="32" t="s">
        <v>383</v>
      </c>
      <c r="AY39" s="32" t="s">
        <v>383</v>
      </c>
      <c r="BD39" s="30"/>
      <c r="BE39" s="31">
        <f>COUNTIFS(BE3:BE14, "=Legacy")</f>
        <v>0</v>
      </c>
      <c r="BF39" s="32" t="s">
        <v>383</v>
      </c>
      <c r="BG39" s="32" t="s">
        <v>383</v>
      </c>
      <c r="BH39" s="32" t="s">
        <v>383</v>
      </c>
      <c r="BI39" s="32" t="s">
        <v>383</v>
      </c>
      <c r="BJ39" s="32"/>
      <c r="BK39" s="32" t="s">
        <v>383</v>
      </c>
      <c r="BL39" s="32" t="s">
        <v>383</v>
      </c>
      <c r="BR39" s="31">
        <f>COUNTIFS(BR4:BR9, "=Legacy")</f>
        <v>0</v>
      </c>
      <c r="BS39" s="32" t="s">
        <v>383</v>
      </c>
      <c r="BT39" s="32" t="s">
        <v>383</v>
      </c>
      <c r="BU39" s="32" t="s">
        <v>383</v>
      </c>
      <c r="BV39" s="32" t="s">
        <v>383</v>
      </c>
      <c r="BW39" s="32"/>
      <c r="BX39" s="32" t="s">
        <v>383</v>
      </c>
      <c r="BY39" s="32" t="s">
        <v>383</v>
      </c>
      <c r="CE39" s="31">
        <f>COUNTIFS(CE4:CE29, "=Legacy")</f>
        <v>0</v>
      </c>
      <c r="CF39" s="32" t="s">
        <v>383</v>
      </c>
      <c r="CG39" s="32" t="s">
        <v>383</v>
      </c>
      <c r="CH39" s="32" t="s">
        <v>383</v>
      </c>
      <c r="CI39" s="32" t="s">
        <v>383</v>
      </c>
      <c r="CJ39" s="32"/>
      <c r="CK39" s="32" t="s">
        <v>383</v>
      </c>
      <c r="CL39" s="32" t="s">
        <v>383</v>
      </c>
      <c r="CQ39" s="30"/>
      <c r="CR39" s="54">
        <f>COUNTIFS(CR6:CR37, "=Legacy")</f>
        <v>0</v>
      </c>
      <c r="CS39" s="55" t="s">
        <v>383</v>
      </c>
      <c r="CT39" s="55" t="s">
        <v>383</v>
      </c>
      <c r="CU39" s="55" t="s">
        <v>383</v>
      </c>
      <c r="CV39" s="55" t="s">
        <v>383</v>
      </c>
      <c r="CW39" s="55"/>
      <c r="CX39" s="55" t="s">
        <v>383</v>
      </c>
      <c r="CY39" s="55" t="s">
        <v>383</v>
      </c>
      <c r="DE39" s="31">
        <f>COUNTIFS(DE4:DE29, "=Legacy")</f>
        <v>0</v>
      </c>
      <c r="DF39" s="32" t="s">
        <v>383</v>
      </c>
      <c r="DG39" s="32" t="s">
        <v>383</v>
      </c>
      <c r="DH39" s="32" t="s">
        <v>383</v>
      </c>
      <c r="DI39" s="32" t="s">
        <v>383</v>
      </c>
      <c r="DJ39" s="32"/>
      <c r="DK39" s="32" t="s">
        <v>383</v>
      </c>
      <c r="DL39" s="32" t="s">
        <v>383</v>
      </c>
      <c r="DR39" s="31">
        <f>COUNTIFS(DR4:DR31, "=Legacy")</f>
        <v>0</v>
      </c>
      <c r="DS39" s="32" t="s">
        <v>383</v>
      </c>
      <c r="DT39" s="32" t="s">
        <v>383</v>
      </c>
      <c r="DU39" s="32" t="s">
        <v>383</v>
      </c>
      <c r="DV39" s="32" t="s">
        <v>383</v>
      </c>
      <c r="DW39" s="32"/>
      <c r="DX39" s="32" t="s">
        <v>383</v>
      </c>
      <c r="DY39" s="32" t="s">
        <v>383</v>
      </c>
      <c r="ED39" s="30"/>
      <c r="EE39" s="31">
        <f>COUNTIFS(EF4:EF18, "=Legacy")</f>
        <v>0</v>
      </c>
      <c r="EF39" s="32" t="s">
        <v>383</v>
      </c>
      <c r="EG39" s="32" t="s">
        <v>383</v>
      </c>
      <c r="EH39" s="32" t="s">
        <v>383</v>
      </c>
      <c r="EI39" s="32" t="s">
        <v>383</v>
      </c>
      <c r="EJ39" s="32"/>
      <c r="EK39" s="32" t="s">
        <v>383</v>
      </c>
      <c r="EL39" s="32" t="s">
        <v>383</v>
      </c>
      <c r="ER39" s="31">
        <f>COUNTIFS(ER4:ER12, "=Legacy")</f>
        <v>0</v>
      </c>
      <c r="ES39" s="32" t="s">
        <v>383</v>
      </c>
      <c r="ET39" s="32" t="s">
        <v>383</v>
      </c>
      <c r="EU39" s="32" t="s">
        <v>383</v>
      </c>
      <c r="EV39" s="32" t="s">
        <v>383</v>
      </c>
      <c r="EW39" s="32"/>
      <c r="EX39" s="32" t="s">
        <v>383</v>
      </c>
      <c r="EY39" s="32" t="s">
        <v>383</v>
      </c>
      <c r="FB39" s="35"/>
      <c r="FC39" s="49"/>
      <c r="FD39" s="49"/>
      <c r="FE39" s="49"/>
      <c r="FF39" s="49"/>
      <c r="FG39" s="49"/>
      <c r="FH39" s="49"/>
      <c r="FI39" s="49"/>
      <c r="FJ39" s="49"/>
      <c r="FK39" s="49"/>
      <c r="FL39" s="49"/>
      <c r="FM39" s="49"/>
      <c r="FN39" s="49"/>
      <c r="FO39" s="49"/>
      <c r="FP39" s="49"/>
      <c r="FQ39" s="49"/>
      <c r="FR39" s="49"/>
      <c r="FS39" s="49"/>
      <c r="FT39" s="49"/>
      <c r="FU39" s="49"/>
      <c r="FV39" s="49"/>
      <c r="FW39" s="35"/>
      <c r="FX39" s="29">
        <f>SUM(E39,R39,AE39)</f>
        <v>0</v>
      </c>
      <c r="FY39" s="29">
        <f>SUM(AR39,BE39,BR39)</f>
        <v>0</v>
      </c>
      <c r="FZ39" s="29">
        <f>SUM(CE39,CR39,DE39)</f>
        <v>0</v>
      </c>
      <c r="GA39" s="29">
        <f>SUM(DR39,EE39,ER39)</f>
        <v>0</v>
      </c>
      <c r="GB39" s="35"/>
      <c r="GC39" s="41">
        <f>SUM(FX39:GA39)</f>
        <v>0</v>
      </c>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row>
    <row r="40" spans="1:235" s="29" customFormat="1">
      <c r="A40" s="28" t="s">
        <v>1578</v>
      </c>
      <c r="B40" s="28"/>
      <c r="E40" s="31">
        <f>COUNTIFS(E4:E28, "=New")</f>
        <v>0</v>
      </c>
      <c r="F40" s="32" t="s">
        <v>383</v>
      </c>
      <c r="G40" s="32" t="s">
        <v>383</v>
      </c>
      <c r="H40" s="32" t="s">
        <v>383</v>
      </c>
      <c r="I40" s="32" t="s">
        <v>383</v>
      </c>
      <c r="J40" s="32"/>
      <c r="K40" s="32" t="s">
        <v>383</v>
      </c>
      <c r="L40" s="32" t="s">
        <v>383</v>
      </c>
      <c r="Q40" s="30"/>
      <c r="R40" s="31">
        <f>COUNTIFS(R4:R28, "=New")</f>
        <v>0</v>
      </c>
      <c r="S40" s="32" t="s">
        <v>383</v>
      </c>
      <c r="T40" s="32" t="s">
        <v>383</v>
      </c>
      <c r="U40" s="32" t="s">
        <v>383</v>
      </c>
      <c r="V40" s="32" t="s">
        <v>383</v>
      </c>
      <c r="W40" s="32"/>
      <c r="X40" s="32" t="s">
        <v>383</v>
      </c>
      <c r="Y40" s="32" t="s">
        <v>383</v>
      </c>
      <c r="AE40" s="31">
        <f>COUNTIFS(AE4:AE28, "=New")</f>
        <v>0</v>
      </c>
      <c r="AF40" s="32" t="s">
        <v>383</v>
      </c>
      <c r="AG40" s="32" t="s">
        <v>383</v>
      </c>
      <c r="AH40" s="32" t="s">
        <v>383</v>
      </c>
      <c r="AI40" s="32" t="s">
        <v>383</v>
      </c>
      <c r="AJ40" s="32"/>
      <c r="AK40" s="32" t="s">
        <v>383</v>
      </c>
      <c r="AL40" s="32" t="s">
        <v>383</v>
      </c>
      <c r="AR40" s="31">
        <f>COUNTIFS(AR3:AR19, "=New")</f>
        <v>0</v>
      </c>
      <c r="AS40" s="32" t="s">
        <v>383</v>
      </c>
      <c r="AT40" s="32" t="s">
        <v>383</v>
      </c>
      <c r="AU40" s="32" t="s">
        <v>383</v>
      </c>
      <c r="AV40" s="32" t="s">
        <v>383</v>
      </c>
      <c r="AW40" s="32"/>
      <c r="AX40" s="32" t="s">
        <v>383</v>
      </c>
      <c r="AY40" s="32" t="s">
        <v>383</v>
      </c>
      <c r="BD40" s="30"/>
      <c r="BE40" s="31">
        <f>COUNTIFS(BE4:BE14, "=New")</f>
        <v>0</v>
      </c>
      <c r="BF40" s="32" t="s">
        <v>383</v>
      </c>
      <c r="BG40" s="32" t="s">
        <v>383</v>
      </c>
      <c r="BH40" s="32" t="s">
        <v>383</v>
      </c>
      <c r="BI40" s="32" t="s">
        <v>383</v>
      </c>
      <c r="BJ40" s="32"/>
      <c r="BK40" s="32" t="s">
        <v>383</v>
      </c>
      <c r="BL40" s="32" t="s">
        <v>383</v>
      </c>
      <c r="BR40" s="31">
        <f>COUNTIFS(BR4:BR9, "=New")</f>
        <v>0</v>
      </c>
      <c r="BS40" s="32" t="s">
        <v>383</v>
      </c>
      <c r="BT40" s="32" t="s">
        <v>383</v>
      </c>
      <c r="BU40" s="32" t="s">
        <v>383</v>
      </c>
      <c r="BV40" s="32" t="s">
        <v>383</v>
      </c>
      <c r="BW40" s="32"/>
      <c r="BX40" s="32" t="s">
        <v>383</v>
      </c>
      <c r="BY40" s="32" t="s">
        <v>383</v>
      </c>
      <c r="CE40" s="31">
        <f>COUNTIFS(CE4:CE29, "=New")</f>
        <v>0</v>
      </c>
      <c r="CF40" s="32" t="s">
        <v>383</v>
      </c>
      <c r="CG40" s="32" t="s">
        <v>383</v>
      </c>
      <c r="CH40" s="32" t="s">
        <v>383</v>
      </c>
      <c r="CI40" s="32" t="s">
        <v>383</v>
      </c>
      <c r="CJ40" s="32"/>
      <c r="CK40" s="32" t="s">
        <v>383</v>
      </c>
      <c r="CL40" s="32" t="s">
        <v>383</v>
      </c>
      <c r="CQ40" s="30"/>
      <c r="CR40" s="31">
        <f>COUNTIFS(CR6:CR37, "=New")</f>
        <v>0</v>
      </c>
      <c r="CS40" s="32" t="s">
        <v>383</v>
      </c>
      <c r="CT40" s="32" t="s">
        <v>383</v>
      </c>
      <c r="CU40" s="32" t="s">
        <v>383</v>
      </c>
      <c r="CV40" s="32" t="s">
        <v>383</v>
      </c>
      <c r="CW40" s="32"/>
      <c r="CX40" s="32" t="s">
        <v>383</v>
      </c>
      <c r="CY40" s="32" t="s">
        <v>383</v>
      </c>
      <c r="DE40" s="31">
        <f>COUNTIFS(DE4:DE29, "=New")</f>
        <v>0</v>
      </c>
      <c r="DF40" s="32" t="s">
        <v>383</v>
      </c>
      <c r="DG40" s="32" t="s">
        <v>383</v>
      </c>
      <c r="DH40" s="32" t="s">
        <v>383</v>
      </c>
      <c r="DI40" s="32" t="s">
        <v>383</v>
      </c>
      <c r="DJ40" s="32"/>
      <c r="DK40" s="32" t="s">
        <v>383</v>
      </c>
      <c r="DL40" s="32" t="s">
        <v>383</v>
      </c>
      <c r="DR40" s="31">
        <f>COUNTIFS(DR4:DR31, "=New")</f>
        <v>0</v>
      </c>
      <c r="DS40" s="32" t="s">
        <v>383</v>
      </c>
      <c r="DT40" s="32" t="s">
        <v>383</v>
      </c>
      <c r="DU40" s="32" t="s">
        <v>383</v>
      </c>
      <c r="DV40" s="32" t="s">
        <v>383</v>
      </c>
      <c r="DW40" s="32"/>
      <c r="DX40" s="32" t="s">
        <v>383</v>
      </c>
      <c r="DY40" s="32" t="s">
        <v>383</v>
      </c>
      <c r="ED40" s="30"/>
      <c r="EE40" s="31">
        <f>COUNTIFS(EE4:EE18, "=New")</f>
        <v>0</v>
      </c>
      <c r="EF40" s="32" t="s">
        <v>383</v>
      </c>
      <c r="EG40" s="32" t="s">
        <v>383</v>
      </c>
      <c r="EH40" s="32" t="s">
        <v>383</v>
      </c>
      <c r="EI40" s="32" t="s">
        <v>383</v>
      </c>
      <c r="EJ40" s="32"/>
      <c r="EK40" s="32" t="s">
        <v>383</v>
      </c>
      <c r="EL40" s="32" t="s">
        <v>383</v>
      </c>
      <c r="ER40" s="31">
        <f>COUNTIFS(ER4:ER12, "=New")</f>
        <v>0</v>
      </c>
      <c r="ES40" s="32" t="s">
        <v>383</v>
      </c>
      <c r="ET40" s="32" t="s">
        <v>383</v>
      </c>
      <c r="EU40" s="32" t="s">
        <v>383</v>
      </c>
      <c r="EV40" s="32" t="s">
        <v>383</v>
      </c>
      <c r="EW40" s="32"/>
      <c r="EX40" s="32" t="s">
        <v>383</v>
      </c>
      <c r="EY40" s="32" t="s">
        <v>383</v>
      </c>
      <c r="FB40" s="35"/>
      <c r="FC40" s="49"/>
      <c r="FD40" s="49"/>
      <c r="FE40" s="49"/>
      <c r="FF40" s="49"/>
      <c r="FG40" s="49"/>
      <c r="FH40" s="49"/>
      <c r="FI40" s="49"/>
      <c r="FJ40" s="49"/>
      <c r="FK40" s="49"/>
      <c r="FL40" s="49"/>
      <c r="FM40" s="49"/>
      <c r="FN40" s="49"/>
      <c r="FO40" s="49"/>
      <c r="FP40" s="49"/>
      <c r="FQ40" s="49"/>
      <c r="FR40" s="49"/>
      <c r="FS40" s="49"/>
      <c r="FT40" s="49"/>
      <c r="FU40" s="49"/>
      <c r="FV40" s="49"/>
      <c r="FW40" s="35"/>
      <c r="FX40" s="29">
        <f>SUM(E40,R40,AE40)</f>
        <v>0</v>
      </c>
      <c r="FY40" s="29">
        <f>SUM(AR40,BE40,BR40)</f>
        <v>0</v>
      </c>
      <c r="FZ40" s="29">
        <f>SUM(CE40,CR40,DE40)</f>
        <v>0</v>
      </c>
      <c r="GA40" s="29">
        <f>SUM(DR40,EE40,ER40)</f>
        <v>0</v>
      </c>
      <c r="GB40" s="35"/>
      <c r="GC40" s="41">
        <f t="shared" ref="GC40:GC85" si="0">SUM(FX40:GA40)</f>
        <v>0</v>
      </c>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row>
    <row r="41" spans="1:235" s="29" customFormat="1">
      <c r="A41" s="28" t="s">
        <v>1579</v>
      </c>
      <c r="B41" s="28"/>
      <c r="E41" s="32" t="s">
        <v>383</v>
      </c>
      <c r="F41" s="31">
        <f>COUNTIFS(F4:F28, "=F2F")</f>
        <v>7</v>
      </c>
      <c r="G41" s="32" t="s">
        <v>383</v>
      </c>
      <c r="H41" s="32" t="s">
        <v>383</v>
      </c>
      <c r="I41" s="32" t="s">
        <v>383</v>
      </c>
      <c r="J41" s="32"/>
      <c r="K41" s="32" t="s">
        <v>383</v>
      </c>
      <c r="L41" s="32" t="s">
        <v>383</v>
      </c>
      <c r="Q41" s="30"/>
      <c r="R41" s="32" t="s">
        <v>383</v>
      </c>
      <c r="S41" s="31">
        <f>COUNTIFS(S4:S28, "=F2F")</f>
        <v>12</v>
      </c>
      <c r="T41" s="32" t="s">
        <v>383</v>
      </c>
      <c r="U41" s="32" t="s">
        <v>383</v>
      </c>
      <c r="V41" s="32" t="s">
        <v>383</v>
      </c>
      <c r="W41" s="32"/>
      <c r="X41" s="32" t="s">
        <v>383</v>
      </c>
      <c r="Y41" s="32" t="s">
        <v>383</v>
      </c>
      <c r="AE41" s="32" t="s">
        <v>383</v>
      </c>
      <c r="AF41" s="31">
        <f>COUNTIFS(AF4:AF28, "=F2F")</f>
        <v>2</v>
      </c>
      <c r="AG41" s="32" t="s">
        <v>383</v>
      </c>
      <c r="AH41" s="32" t="s">
        <v>383</v>
      </c>
      <c r="AI41" s="32" t="s">
        <v>383</v>
      </c>
      <c r="AJ41" s="32"/>
      <c r="AK41" s="32" t="s">
        <v>383</v>
      </c>
      <c r="AL41" s="32" t="s">
        <v>383</v>
      </c>
      <c r="AR41" s="32" t="s">
        <v>383</v>
      </c>
      <c r="AS41" s="31">
        <f>COUNTIFS(AS3:AS19, "=F2F")</f>
        <v>0</v>
      </c>
      <c r="AT41" s="32" t="s">
        <v>383</v>
      </c>
      <c r="AU41" s="32" t="s">
        <v>383</v>
      </c>
      <c r="AV41" s="32" t="s">
        <v>383</v>
      </c>
      <c r="AW41" s="32"/>
      <c r="AX41" s="32" t="s">
        <v>383</v>
      </c>
      <c r="AY41" s="32" t="s">
        <v>383</v>
      </c>
      <c r="BD41" s="30"/>
      <c r="BE41" s="32" t="s">
        <v>383</v>
      </c>
      <c r="BF41" s="31">
        <f>COUNTIFS(BF4:BF14, "=F2F")</f>
        <v>0</v>
      </c>
      <c r="BG41" s="32" t="s">
        <v>383</v>
      </c>
      <c r="BH41" s="32" t="s">
        <v>383</v>
      </c>
      <c r="BI41" s="32" t="s">
        <v>383</v>
      </c>
      <c r="BJ41" s="32"/>
      <c r="BK41" s="32" t="s">
        <v>383</v>
      </c>
      <c r="BL41" s="32" t="s">
        <v>383</v>
      </c>
      <c r="BR41" s="32" t="s">
        <v>383</v>
      </c>
      <c r="BS41" s="31">
        <f>COUNTIFS(BS4:BS9, "=F2F")</f>
        <v>0</v>
      </c>
      <c r="BT41" s="32" t="s">
        <v>383</v>
      </c>
      <c r="BU41" s="32" t="s">
        <v>383</v>
      </c>
      <c r="BV41" s="32" t="s">
        <v>383</v>
      </c>
      <c r="BW41" s="32"/>
      <c r="BX41" s="32" t="s">
        <v>383</v>
      </c>
      <c r="BY41" s="32" t="s">
        <v>383</v>
      </c>
      <c r="CE41" s="32" t="s">
        <v>383</v>
      </c>
      <c r="CF41" s="31">
        <f>COUNTIFS(CF4:CF29, "=F2F")</f>
        <v>0</v>
      </c>
      <c r="CG41" s="32" t="s">
        <v>383</v>
      </c>
      <c r="CH41" s="32" t="s">
        <v>383</v>
      </c>
      <c r="CI41" s="32" t="s">
        <v>383</v>
      </c>
      <c r="CJ41" s="32"/>
      <c r="CK41" s="32" t="s">
        <v>383</v>
      </c>
      <c r="CL41" s="32" t="s">
        <v>383</v>
      </c>
      <c r="CQ41" s="30"/>
      <c r="CR41" s="32" t="s">
        <v>383</v>
      </c>
      <c r="CS41" s="31">
        <f>COUNTIFS(CS6:CS37, "=F2F")</f>
        <v>0</v>
      </c>
      <c r="CT41" s="32" t="s">
        <v>383</v>
      </c>
      <c r="CU41" s="32" t="s">
        <v>383</v>
      </c>
      <c r="CV41" s="32" t="s">
        <v>383</v>
      </c>
      <c r="CW41" s="32"/>
      <c r="CX41" s="32" t="s">
        <v>383</v>
      </c>
      <c r="CY41" s="32" t="s">
        <v>383</v>
      </c>
      <c r="DE41" s="32" t="s">
        <v>383</v>
      </c>
      <c r="DF41" s="31">
        <f>COUNTIFS(DF4:DF29, "=F2F")</f>
        <v>0</v>
      </c>
      <c r="DG41" s="32" t="s">
        <v>383</v>
      </c>
      <c r="DH41" s="32" t="s">
        <v>383</v>
      </c>
      <c r="DI41" s="32" t="s">
        <v>383</v>
      </c>
      <c r="DJ41" s="32"/>
      <c r="DK41" s="32" t="s">
        <v>383</v>
      </c>
      <c r="DL41" s="32" t="s">
        <v>383</v>
      </c>
      <c r="DR41" s="32" t="s">
        <v>383</v>
      </c>
      <c r="DS41" s="31">
        <f>COUNTIFS(DS4:DS31, "=F2F")</f>
        <v>0</v>
      </c>
      <c r="DT41" s="32" t="s">
        <v>383</v>
      </c>
      <c r="DU41" s="32" t="s">
        <v>383</v>
      </c>
      <c r="DV41" s="32" t="s">
        <v>383</v>
      </c>
      <c r="DW41" s="32"/>
      <c r="DX41" s="32" t="s">
        <v>383</v>
      </c>
      <c r="DY41" s="32" t="s">
        <v>383</v>
      </c>
      <c r="ED41" s="30"/>
      <c r="EE41" s="32" t="s">
        <v>383</v>
      </c>
      <c r="EF41" s="31">
        <f>COUNTIFS(EF4:EF18, "=F2F")</f>
        <v>0</v>
      </c>
      <c r="EG41" s="32" t="s">
        <v>383</v>
      </c>
      <c r="EH41" s="32" t="s">
        <v>383</v>
      </c>
      <c r="EI41" s="32" t="s">
        <v>383</v>
      </c>
      <c r="EJ41" s="32"/>
      <c r="EK41" s="32" t="s">
        <v>383</v>
      </c>
      <c r="EL41" s="32" t="s">
        <v>383</v>
      </c>
      <c r="ER41" s="32" t="s">
        <v>383</v>
      </c>
      <c r="ES41" s="31">
        <f>COUNTIFS(ES4:ES12, "=F2F")</f>
        <v>0</v>
      </c>
      <c r="ET41" s="32" t="s">
        <v>383</v>
      </c>
      <c r="EU41" s="32" t="s">
        <v>383</v>
      </c>
      <c r="EV41" s="32" t="s">
        <v>383</v>
      </c>
      <c r="EW41" s="32"/>
      <c r="EX41" s="32" t="s">
        <v>383</v>
      </c>
      <c r="EY41" s="32" t="s">
        <v>383</v>
      </c>
      <c r="FB41" s="35"/>
      <c r="FC41" s="49"/>
      <c r="FD41" s="49"/>
      <c r="FE41" s="49"/>
      <c r="FF41" s="49"/>
      <c r="FG41" s="49"/>
      <c r="FH41" s="49"/>
      <c r="FI41" s="49"/>
      <c r="FJ41" s="49"/>
      <c r="FK41" s="49"/>
      <c r="FL41" s="49"/>
      <c r="FM41" s="49"/>
      <c r="FN41" s="49"/>
      <c r="FO41" s="49"/>
      <c r="FP41" s="49"/>
      <c r="FQ41" s="49"/>
      <c r="FR41" s="49"/>
      <c r="FS41" s="49"/>
      <c r="FT41" s="49"/>
      <c r="FU41" s="49"/>
      <c r="FV41" s="49"/>
      <c r="FW41" s="35"/>
      <c r="FX41" s="29">
        <f>SUM(F41,S41,AF41)</f>
        <v>21</v>
      </c>
      <c r="FY41" s="29">
        <f>SUM(AS41,BF41,BS41)</f>
        <v>0</v>
      </c>
      <c r="FZ41" s="29">
        <f>SUM(CF41,CS41,DF41)</f>
        <v>0</v>
      </c>
      <c r="GA41" s="29">
        <f>SUM(DS41,EF41,ES41)</f>
        <v>0</v>
      </c>
      <c r="GB41" s="35"/>
      <c r="GC41" s="41">
        <f t="shared" si="0"/>
        <v>21</v>
      </c>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row>
    <row r="42" spans="1:235" s="29" customFormat="1">
      <c r="A42" s="28" t="s">
        <v>1580</v>
      </c>
      <c r="B42" s="28"/>
      <c r="E42" s="32" t="s">
        <v>383</v>
      </c>
      <c r="F42" s="31">
        <f>COUNTIFS(F4:F28, "=Virtual")</f>
        <v>0</v>
      </c>
      <c r="G42" s="32" t="s">
        <v>383</v>
      </c>
      <c r="H42" s="32" t="s">
        <v>383</v>
      </c>
      <c r="I42" s="32" t="s">
        <v>383</v>
      </c>
      <c r="J42" s="32"/>
      <c r="K42" s="32" t="s">
        <v>383</v>
      </c>
      <c r="L42" s="32" t="s">
        <v>383</v>
      </c>
      <c r="Q42" s="30"/>
      <c r="R42" s="32" t="s">
        <v>383</v>
      </c>
      <c r="S42" s="31">
        <f>COUNTIFS(S4:S28, "=Virtual")</f>
        <v>1</v>
      </c>
      <c r="T42" s="32" t="s">
        <v>383</v>
      </c>
      <c r="U42" s="32" t="s">
        <v>383</v>
      </c>
      <c r="V42" s="32" t="s">
        <v>383</v>
      </c>
      <c r="W42" s="32"/>
      <c r="X42" s="32" t="s">
        <v>383</v>
      </c>
      <c r="Y42" s="32" t="s">
        <v>383</v>
      </c>
      <c r="AE42" s="32" t="s">
        <v>383</v>
      </c>
      <c r="AF42" s="31">
        <f>COUNTIFS(AF4:AF28, "=Virtual")</f>
        <v>1</v>
      </c>
      <c r="AG42" s="32" t="s">
        <v>383</v>
      </c>
      <c r="AH42" s="32" t="s">
        <v>383</v>
      </c>
      <c r="AI42" s="32" t="s">
        <v>383</v>
      </c>
      <c r="AJ42" s="32"/>
      <c r="AK42" s="32" t="s">
        <v>383</v>
      </c>
      <c r="AL42" s="32" t="s">
        <v>383</v>
      </c>
      <c r="AR42" s="32" t="s">
        <v>383</v>
      </c>
      <c r="AS42" s="31">
        <f>COUNTIFS(AS3:AS19, "=Virtual")</f>
        <v>9</v>
      </c>
      <c r="AT42" s="32" t="s">
        <v>383</v>
      </c>
      <c r="AU42" s="32" t="s">
        <v>383</v>
      </c>
      <c r="AV42" s="32" t="s">
        <v>383</v>
      </c>
      <c r="AW42" s="32"/>
      <c r="AX42" s="32" t="s">
        <v>383</v>
      </c>
      <c r="AY42" s="32" t="s">
        <v>383</v>
      </c>
      <c r="BD42" s="30"/>
      <c r="BE42" s="32" t="s">
        <v>383</v>
      </c>
      <c r="BF42" s="31">
        <f>COUNTIFS(BF4:BF14, "=Virtual")</f>
        <v>5</v>
      </c>
      <c r="BG42" s="32" t="s">
        <v>383</v>
      </c>
      <c r="BH42" s="32" t="s">
        <v>383</v>
      </c>
      <c r="BI42" s="32" t="s">
        <v>383</v>
      </c>
      <c r="BJ42" s="32"/>
      <c r="BK42" s="32" t="s">
        <v>383</v>
      </c>
      <c r="BL42" s="32" t="s">
        <v>383</v>
      </c>
      <c r="BR42" s="32" t="s">
        <v>383</v>
      </c>
      <c r="BS42" s="31">
        <f>COUNTIFS(BS4:BS9, "=Virtual")</f>
        <v>3</v>
      </c>
      <c r="BT42" s="32" t="s">
        <v>383</v>
      </c>
      <c r="BU42" s="32" t="s">
        <v>383</v>
      </c>
      <c r="BV42" s="32" t="s">
        <v>383</v>
      </c>
      <c r="BW42" s="32"/>
      <c r="BX42" s="32" t="s">
        <v>383</v>
      </c>
      <c r="BY42" s="32" t="s">
        <v>383</v>
      </c>
      <c r="CE42" s="32" t="s">
        <v>383</v>
      </c>
      <c r="CF42" s="31">
        <f>COUNTIFS(CF4:CF29, "=Virtual")</f>
        <v>10</v>
      </c>
      <c r="CG42" s="32" t="s">
        <v>383</v>
      </c>
      <c r="CH42" s="32" t="s">
        <v>383</v>
      </c>
      <c r="CI42" s="32" t="s">
        <v>383</v>
      </c>
      <c r="CJ42" s="32"/>
      <c r="CK42" s="32" t="s">
        <v>383</v>
      </c>
      <c r="CL42" s="32" t="s">
        <v>383</v>
      </c>
      <c r="CQ42" s="30"/>
      <c r="CR42" s="32" t="s">
        <v>383</v>
      </c>
      <c r="CS42" s="31">
        <f>COUNTIFS(CS6:CS37, "=Virtual")</f>
        <v>10</v>
      </c>
      <c r="CT42" s="32" t="s">
        <v>383</v>
      </c>
      <c r="CU42" s="32" t="s">
        <v>383</v>
      </c>
      <c r="CV42" s="32" t="s">
        <v>383</v>
      </c>
      <c r="CW42" s="32"/>
      <c r="CX42" s="32" t="s">
        <v>383</v>
      </c>
      <c r="CY42" s="32" t="s">
        <v>383</v>
      </c>
      <c r="DE42" s="32" t="s">
        <v>383</v>
      </c>
      <c r="DF42" s="31">
        <f>COUNTIFS(DF4:DF29, "=Virtual")</f>
        <v>10</v>
      </c>
      <c r="DG42" s="32" t="s">
        <v>383</v>
      </c>
      <c r="DH42" s="32" t="s">
        <v>383</v>
      </c>
      <c r="DI42" s="32" t="s">
        <v>383</v>
      </c>
      <c r="DJ42" s="32"/>
      <c r="DK42" s="32" t="s">
        <v>383</v>
      </c>
      <c r="DL42" s="32" t="s">
        <v>383</v>
      </c>
      <c r="DR42" s="32" t="s">
        <v>383</v>
      </c>
      <c r="DS42" s="31">
        <f>COUNTIFS(DS4:DS31, "=Virtual")</f>
        <v>13</v>
      </c>
      <c r="DT42" s="32" t="s">
        <v>383</v>
      </c>
      <c r="DU42" s="32" t="s">
        <v>383</v>
      </c>
      <c r="DV42" s="32" t="s">
        <v>383</v>
      </c>
      <c r="DW42" s="32"/>
      <c r="DX42" s="32" t="s">
        <v>383</v>
      </c>
      <c r="DY42" s="32" t="s">
        <v>383</v>
      </c>
      <c r="ED42" s="30"/>
      <c r="EE42" s="32" t="s">
        <v>383</v>
      </c>
      <c r="EF42" s="31">
        <f>COUNTIFS(EF4:EF18, "=Virtual")</f>
        <v>5</v>
      </c>
      <c r="EG42" s="32" t="s">
        <v>383</v>
      </c>
      <c r="EH42" s="32" t="s">
        <v>383</v>
      </c>
      <c r="EI42" s="32" t="s">
        <v>383</v>
      </c>
      <c r="EJ42" s="32"/>
      <c r="EK42" s="32" t="s">
        <v>383</v>
      </c>
      <c r="EL42" s="32" t="s">
        <v>383</v>
      </c>
      <c r="ER42" s="32" t="s">
        <v>383</v>
      </c>
      <c r="ES42" s="31">
        <f>COUNTIFS(ES4:ES12, "=Virtual")</f>
        <v>1</v>
      </c>
      <c r="ET42" s="32" t="s">
        <v>383</v>
      </c>
      <c r="EU42" s="32" t="s">
        <v>383</v>
      </c>
      <c r="EV42" s="32" t="s">
        <v>383</v>
      </c>
      <c r="EW42" s="32"/>
      <c r="EX42" s="32" t="s">
        <v>383</v>
      </c>
      <c r="EY42" s="32" t="s">
        <v>383</v>
      </c>
      <c r="FB42" s="35"/>
      <c r="FC42" s="49"/>
      <c r="FD42" s="49"/>
      <c r="FE42" s="49"/>
      <c r="FF42" s="49"/>
      <c r="FG42" s="49"/>
      <c r="FH42" s="49"/>
      <c r="FI42" s="49"/>
      <c r="FJ42" s="49"/>
      <c r="FK42" s="49"/>
      <c r="FL42" s="49"/>
      <c r="FM42" s="49"/>
      <c r="FN42" s="49"/>
      <c r="FO42" s="49"/>
      <c r="FP42" s="49"/>
      <c r="FQ42" s="49"/>
      <c r="FR42" s="49"/>
      <c r="FS42" s="49"/>
      <c r="FT42" s="49"/>
      <c r="FU42" s="49"/>
      <c r="FV42" s="49"/>
      <c r="FW42" s="35"/>
      <c r="FX42" s="29">
        <f>SUM(F42,S42,AF42)</f>
        <v>2</v>
      </c>
      <c r="FY42" s="29">
        <f>SUM(AS42,BF42,BS42)</f>
        <v>17</v>
      </c>
      <c r="FZ42" s="29">
        <f>SUM(CF42,CS42,DF42)</f>
        <v>30</v>
      </c>
      <c r="GA42" s="29">
        <f>SUM(DS42,EF42,ES42)</f>
        <v>19</v>
      </c>
      <c r="GB42" s="35"/>
      <c r="GC42" s="41">
        <f t="shared" si="0"/>
        <v>68</v>
      </c>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row>
    <row r="43" spans="1:235" s="29" customFormat="1">
      <c r="A43" s="28" t="s">
        <v>1581</v>
      </c>
      <c r="B43" s="28"/>
      <c r="E43" s="32" t="s">
        <v>383</v>
      </c>
      <c r="F43" s="32" t="s">
        <v>383</v>
      </c>
      <c r="G43" s="31">
        <f>COUNTIFS(G4:G28, "=Complete")</f>
        <v>7</v>
      </c>
      <c r="H43" s="31">
        <f>COUNTIFS(H4:H28, "=Complete")</f>
        <v>4</v>
      </c>
      <c r="I43" s="31">
        <f>COUNTIFS(I4:I28, "=Complete")</f>
        <v>7</v>
      </c>
      <c r="J43" s="31"/>
      <c r="K43" s="31">
        <f>COUNTIFS(K4:K28, "=Complete")</f>
        <v>0</v>
      </c>
      <c r="L43" s="31">
        <f>COUNTIFS(L4:L28, "=Complete")</f>
        <v>0</v>
      </c>
      <c r="Q43" s="30"/>
      <c r="R43" s="32" t="s">
        <v>383</v>
      </c>
      <c r="S43" s="32" t="s">
        <v>383</v>
      </c>
      <c r="T43" s="31">
        <f>COUNTIFS(T4:T28, "=Complete")</f>
        <v>12</v>
      </c>
      <c r="U43" s="31">
        <f>COUNTIFS(U4:U28, "=Complete")</f>
        <v>7</v>
      </c>
      <c r="V43" s="31">
        <f>COUNTIFS(V4:V28, "=Complete")</f>
        <v>12</v>
      </c>
      <c r="W43" s="31"/>
      <c r="X43" s="31">
        <f>COUNTIFS(X4:X28, "=Complete")</f>
        <v>0</v>
      </c>
      <c r="Y43" s="31">
        <f>COUNTIFS(Y4:Y28, "=Complete")</f>
        <v>0</v>
      </c>
      <c r="AE43" s="32" t="s">
        <v>383</v>
      </c>
      <c r="AF43" s="32" t="s">
        <v>383</v>
      </c>
      <c r="AG43" s="31">
        <f>COUNTIFS(AG4:AG28, "=Complete")</f>
        <v>2</v>
      </c>
      <c r="AH43" s="31">
        <f>COUNTIFS(AH4:AH28, "=Complete")</f>
        <v>2</v>
      </c>
      <c r="AI43" s="31">
        <f>COUNTIFS(AI4:AI28, "=Complete")</f>
        <v>2</v>
      </c>
      <c r="AJ43" s="31"/>
      <c r="AK43" s="31">
        <f>COUNTIFS(AK4:AK28, "=Complete")</f>
        <v>0</v>
      </c>
      <c r="AL43" s="31">
        <f>COUNTIFS(AL4:AL28, "=Complete")</f>
        <v>0</v>
      </c>
      <c r="AR43" s="32" t="s">
        <v>383</v>
      </c>
      <c r="AS43" s="32" t="s">
        <v>383</v>
      </c>
      <c r="AT43" s="31">
        <f>COUNTIFS(AT4:AT19, "=Complete")</f>
        <v>8</v>
      </c>
      <c r="AU43" s="31">
        <f>COUNTIFS(AU4:AU19, "=Complete")</f>
        <v>8</v>
      </c>
      <c r="AV43" s="31">
        <f>COUNTIFS(AV4:AV19, "=Complete")</f>
        <v>8</v>
      </c>
      <c r="AW43" s="31"/>
      <c r="AX43" s="31">
        <f>COUNTIFS(AX4:AX19, "=Complete")</f>
        <v>0</v>
      </c>
      <c r="AY43" s="31">
        <f>COUNTIFS(AY4:AY19, "=Complete")</f>
        <v>0</v>
      </c>
      <c r="BD43" s="30"/>
      <c r="BE43" s="32" t="s">
        <v>383</v>
      </c>
      <c r="BF43" s="32" t="s">
        <v>383</v>
      </c>
      <c r="BG43" s="31">
        <f>COUNTIFS(BG4:BG14, "=Complete")</f>
        <v>5</v>
      </c>
      <c r="BH43" s="31">
        <f>COUNTIFS(BH4:BH14, "=Complete")</f>
        <v>5</v>
      </c>
      <c r="BI43" s="31">
        <f>COUNTIFS(BI4:BI14, "=Complete")</f>
        <v>5</v>
      </c>
      <c r="BJ43" s="31"/>
      <c r="BK43" s="31">
        <f>COUNTIFS(BK4:BK14, "=Complete")</f>
        <v>0</v>
      </c>
      <c r="BL43" s="31">
        <f>COUNTIFS(BL4:BL14, "=Complete")</f>
        <v>0</v>
      </c>
      <c r="BR43" s="32" t="s">
        <v>383</v>
      </c>
      <c r="BS43" s="32" t="s">
        <v>383</v>
      </c>
      <c r="BT43" s="31">
        <f>COUNTIFS(BT4:BT9, "=Complete")</f>
        <v>3</v>
      </c>
      <c r="BU43" s="31">
        <f>COUNTIFS(BU4:BU9, "=Complete")</f>
        <v>3</v>
      </c>
      <c r="BV43" s="31">
        <f>COUNTIFS(BV4:BV9, "=Complete")</f>
        <v>3</v>
      </c>
      <c r="BW43" s="31"/>
      <c r="BX43" s="31">
        <f>COUNTIFS(BX4:BX9, "=Complete")</f>
        <v>0</v>
      </c>
      <c r="BY43" s="31">
        <f>COUNTIFS(BY4:BY9, "=Complete")</f>
        <v>0</v>
      </c>
      <c r="CE43" s="32" t="s">
        <v>383</v>
      </c>
      <c r="CF43" s="32" t="s">
        <v>383</v>
      </c>
      <c r="CG43" s="32">
        <f>COUNTIFS(CG4:CG29, "=Complete")</f>
        <v>9</v>
      </c>
      <c r="CH43" s="32">
        <f>COUNTIFS(CH4:CH29, "=Complete")</f>
        <v>9</v>
      </c>
      <c r="CI43" s="32">
        <f>COUNTIFS(CI4:CI29, "=Complete")</f>
        <v>7</v>
      </c>
      <c r="CJ43" s="32"/>
      <c r="CK43" s="32">
        <f>COUNTIFS(CK4:CK29, "=Complete")</f>
        <v>0</v>
      </c>
      <c r="CL43" s="32">
        <f>COUNTIFS(CL4:CL29, "=Complete")</f>
        <v>0</v>
      </c>
      <c r="CQ43" s="30"/>
      <c r="CR43" s="32" t="s">
        <v>383</v>
      </c>
      <c r="CS43" s="32" t="s">
        <v>383</v>
      </c>
      <c r="CT43" s="31">
        <f>COUNTIFS(CT4:CT37, "=Complete")</f>
        <v>10</v>
      </c>
      <c r="CU43" s="31">
        <f>COUNTIFS(CU4:CU37, "=Complete")</f>
        <v>10</v>
      </c>
      <c r="CV43" s="31">
        <f>COUNTIFS(CV4:CV37, "=Complete")</f>
        <v>3</v>
      </c>
      <c r="CW43" s="31"/>
      <c r="CX43" s="31">
        <f>COUNTIFS(CX4:CX37, "=Complete")</f>
        <v>0</v>
      </c>
      <c r="CY43" s="31">
        <f>COUNTIFS(CY4:CY37, "=Complete")</f>
        <v>0</v>
      </c>
      <c r="DE43" s="32" t="s">
        <v>383</v>
      </c>
      <c r="DF43" s="32" t="s">
        <v>383</v>
      </c>
      <c r="DG43" s="31">
        <f>COUNTIFS(DG4:DG29, "=Complete")</f>
        <v>9</v>
      </c>
      <c r="DH43" s="31">
        <f>COUNTIFS(DH4:DH29, "=Complete")</f>
        <v>8</v>
      </c>
      <c r="DI43" s="31">
        <f>COUNTIFS(DI4:DI29, "=Complete")</f>
        <v>1</v>
      </c>
      <c r="DJ43" s="31"/>
      <c r="DK43" s="31">
        <f>COUNTIFS(DK4:DK29, "=Complete")</f>
        <v>0</v>
      </c>
      <c r="DL43" s="31">
        <f>COUNTIFS(DL4:DL29, "=Complete")</f>
        <v>0</v>
      </c>
      <c r="DR43" s="32" t="s">
        <v>383</v>
      </c>
      <c r="DS43" s="32" t="s">
        <v>383</v>
      </c>
      <c r="DT43" s="31">
        <f>COUNTIFS(DT4:DT31, "=Complete")</f>
        <v>11</v>
      </c>
      <c r="DU43" s="31">
        <f>COUNTIFS(DU4:DU31, "=Complete")</f>
        <v>11</v>
      </c>
      <c r="DV43" s="31">
        <f>COUNTIFS(DV4:DV31, "=Complete")</f>
        <v>0</v>
      </c>
      <c r="DW43" s="31"/>
      <c r="DX43" s="31">
        <f>COUNTIFS(DX4:DX31, "=Complete")</f>
        <v>0</v>
      </c>
      <c r="DY43" s="31">
        <f>COUNTIFS(DY4:DY31, "=Complete")</f>
        <v>0</v>
      </c>
      <c r="ED43" s="30"/>
      <c r="EE43" s="32" t="s">
        <v>383</v>
      </c>
      <c r="EF43" s="32" t="s">
        <v>383</v>
      </c>
      <c r="EG43" s="31">
        <f>COUNTIFS(EH4:EH18, "=Complete")</f>
        <v>4</v>
      </c>
      <c r="EH43" s="31">
        <f>COUNTIFS(EI4:EI18, "=Complete")</f>
        <v>0</v>
      </c>
      <c r="EI43" s="31">
        <f>COUNTIFS(EK4:EK18, "=Complete")</f>
        <v>0</v>
      </c>
      <c r="EJ43" s="31"/>
      <c r="EK43" s="31">
        <f>COUNTIFS(EL4:EL18, "=Complete")</f>
        <v>0</v>
      </c>
      <c r="EL43" s="31">
        <f>COUNTIFS(EL4:EL18, "=Complete")</f>
        <v>0</v>
      </c>
      <c r="ER43" s="32" t="s">
        <v>383</v>
      </c>
      <c r="ES43" s="32" t="s">
        <v>383</v>
      </c>
      <c r="ET43" s="31">
        <f>COUNTIFS(ET4:ET12, "=Complete")</f>
        <v>1</v>
      </c>
      <c r="EU43" s="31">
        <f>COUNTIFS(EU4:EU12, "=Complete")</f>
        <v>0</v>
      </c>
      <c r="EV43" s="31">
        <f>COUNTIFS(EV4:EV12, "=Complete")</f>
        <v>0</v>
      </c>
      <c r="EW43" s="31"/>
      <c r="EX43" s="31">
        <f>COUNTIFS(EX4:EX12, "=Complete")</f>
        <v>0</v>
      </c>
      <c r="EY43" s="31">
        <f>COUNTIFS(EY4:EY12, "=Complete")</f>
        <v>0</v>
      </c>
      <c r="FB43" s="35">
        <f>18+5</f>
        <v>23</v>
      </c>
      <c r="FC43" s="45">
        <f>SUM(G$43, T$43, AG$43)</f>
        <v>21</v>
      </c>
      <c r="FD43" s="45">
        <f>SUM(H$43, U$43, AH$43)</f>
        <v>13</v>
      </c>
      <c r="FE43" s="45">
        <f>SUM(I$43, V$43, AI$43)</f>
        <v>21</v>
      </c>
      <c r="FF43" s="45">
        <f>SUM(K$43, X$43, AK$43)</f>
        <v>0</v>
      </c>
      <c r="FG43" s="45">
        <f>SUM(L$43, Y$43, AL$43)</f>
        <v>0</v>
      </c>
      <c r="FH43" s="47">
        <f>SUM(AT$43, BG$43, BT$43)</f>
        <v>16</v>
      </c>
      <c r="FI43" s="47">
        <f>SUM(AU$43, BH$43, BU$43)</f>
        <v>16</v>
      </c>
      <c r="FJ43" s="47">
        <f>SUM(AV$43, BI$43, BV$43)</f>
        <v>16</v>
      </c>
      <c r="FK43" s="47">
        <f>SUM(AX$43, BK$43, BX$43)</f>
        <v>0</v>
      </c>
      <c r="FL43" s="47">
        <f>SUM(AY$43, BL$43, BY$43)</f>
        <v>0</v>
      </c>
      <c r="FM43" s="45">
        <f>SUM(CG$43, CT$43, DG$43)</f>
        <v>28</v>
      </c>
      <c r="FN43" s="45">
        <f>SUM(CH$43, CU$43, DH$43)</f>
        <v>27</v>
      </c>
      <c r="FO43" s="45">
        <f>SUM(CI$43, CV$43, DI$43)</f>
        <v>11</v>
      </c>
      <c r="FP43" s="45">
        <f>SUM(CK$43, CX$43, DK$43)</f>
        <v>0</v>
      </c>
      <c r="FQ43" s="45">
        <f>SUM(CL$43, CY$43, DL$43)</f>
        <v>0</v>
      </c>
      <c r="FR43" s="47">
        <f>SUM(DT$43,EG$43,ET$43)</f>
        <v>16</v>
      </c>
      <c r="FS43" s="47">
        <f>SUM(DU$43,EH$43,EU$43)</f>
        <v>11</v>
      </c>
      <c r="FT43" s="47">
        <f>SUM(DV$43,EI$43,EV$43)</f>
        <v>0</v>
      </c>
      <c r="FU43" s="47">
        <f>SUM(DX$43,EK$43,EX$43)</f>
        <v>0</v>
      </c>
      <c r="FV43" s="47">
        <f>SUM(DY$43,EL$43,EY$43)</f>
        <v>0</v>
      </c>
      <c r="FW43" s="35"/>
      <c r="FX43" s="51"/>
      <c r="FY43" s="51"/>
      <c r="FZ43" s="51"/>
      <c r="GA43" s="51"/>
      <c r="GB43" s="35"/>
      <c r="GC43" s="41">
        <f t="shared" si="0"/>
        <v>0</v>
      </c>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35"/>
    </row>
    <row r="44" spans="1:235">
      <c r="A44" s="28" t="s">
        <v>1582</v>
      </c>
      <c r="B44" s="28"/>
      <c r="C44" s="29"/>
      <c r="D44" s="29"/>
      <c r="E44" s="32" t="s">
        <v>383</v>
      </c>
      <c r="F44" s="32" t="s">
        <v>383</v>
      </c>
      <c r="G44" s="31">
        <f>COUNTIFS(G4:G28, "=In Progress")</f>
        <v>0</v>
      </c>
      <c r="H44" s="31">
        <f>COUNTIFS(H4:H28, "=In Progress")</f>
        <v>3</v>
      </c>
      <c r="I44" s="31">
        <f>COUNTIFS(I4:I28, "=In Progress")</f>
        <v>0</v>
      </c>
      <c r="J44" s="31"/>
      <c r="K44" s="31">
        <f>COUNTIFS(K4:K28, "=In Progress")</f>
        <v>0</v>
      </c>
      <c r="L44" s="31">
        <f>COUNTIFS(L4:L28, "=In Progress")</f>
        <v>0</v>
      </c>
      <c r="M44" s="29"/>
      <c r="N44" s="29"/>
      <c r="O44" s="29"/>
      <c r="P44" s="29"/>
      <c r="Q44" s="30"/>
      <c r="R44" s="32" t="s">
        <v>383</v>
      </c>
      <c r="S44" s="32" t="s">
        <v>383</v>
      </c>
      <c r="T44" s="31">
        <f>COUNTIFS(T4:T28, "=In Progress")</f>
        <v>1</v>
      </c>
      <c r="U44" s="31">
        <f>COUNTIFS(U4:U28, "=In Progress")</f>
        <v>5</v>
      </c>
      <c r="V44" s="31">
        <f>COUNTIFS(V4:V28, "=In Progress")</f>
        <v>0</v>
      </c>
      <c r="W44" s="31"/>
      <c r="X44" s="31">
        <f>COUNTIFS(X4:X28, "=In Progress")</f>
        <v>0</v>
      </c>
      <c r="Y44" s="31">
        <f>COUNTIFS(Y4:Y28, "=In Progress")</f>
        <v>0</v>
      </c>
      <c r="Z44" s="29"/>
      <c r="AA44" s="29"/>
      <c r="AB44" s="29"/>
      <c r="AC44" s="29"/>
      <c r="AD44" s="29"/>
      <c r="AE44" s="32" t="s">
        <v>383</v>
      </c>
      <c r="AF44" s="32" t="s">
        <v>383</v>
      </c>
      <c r="AG44" s="31">
        <f>COUNTIFS(AG4:AG28, "=In Progress")</f>
        <v>0</v>
      </c>
      <c r="AH44" s="31">
        <f>COUNTIFS(AH4:AH28, "=In Progress")</f>
        <v>0</v>
      </c>
      <c r="AI44" s="31">
        <f>COUNTIFS(AI4:AI28, "=In Progress")</f>
        <v>0</v>
      </c>
      <c r="AJ44" s="31"/>
      <c r="AK44" s="31">
        <f>COUNTIFS(AK4:AK28, "=In Progress")</f>
        <v>0</v>
      </c>
      <c r="AL44" s="31">
        <f>COUNTIFS(AL4:AL28, "=In Progress")</f>
        <v>0</v>
      </c>
      <c r="AM44" s="29"/>
      <c r="AN44" s="29"/>
      <c r="AO44" s="29"/>
      <c r="AP44" s="29"/>
      <c r="AQ44" s="29"/>
      <c r="AR44" s="32" t="s">
        <v>383</v>
      </c>
      <c r="AS44" s="32" t="s">
        <v>383</v>
      </c>
      <c r="AT44" s="31">
        <f>COUNTIFS(AT4:AT19, "=In Progress")</f>
        <v>1</v>
      </c>
      <c r="AU44" s="31">
        <f>COUNTIFS(AU4:AU19, "=In Progress")</f>
        <v>0</v>
      </c>
      <c r="AV44" s="31">
        <f>COUNTIFS(AV4:AV19, "=In Progress")</f>
        <v>0</v>
      </c>
      <c r="AW44" s="31"/>
      <c r="AX44" s="31">
        <f>COUNTIFS(AX4:AX19, "=In Progress")</f>
        <v>0</v>
      </c>
      <c r="AY44" s="31">
        <f>COUNTIFS(AY4:AY19, "=In Progress")</f>
        <v>0</v>
      </c>
      <c r="AZ44" s="29"/>
      <c r="BA44" s="29"/>
      <c r="BB44" s="29"/>
      <c r="BC44" s="29"/>
      <c r="BD44" s="30"/>
      <c r="BE44" s="32" t="s">
        <v>383</v>
      </c>
      <c r="BF44" s="32" t="s">
        <v>383</v>
      </c>
      <c r="BG44" s="31">
        <f>COUNTIFS(BG4:BG14, "=In Progress")</f>
        <v>0</v>
      </c>
      <c r="BH44" s="31">
        <f>COUNTIFS(BH4:BH14, "=In Progress")</f>
        <v>0</v>
      </c>
      <c r="BI44" s="31">
        <f>COUNTIFS(BI4:BI14, "=In Progress")</f>
        <v>0</v>
      </c>
      <c r="BJ44" s="31"/>
      <c r="BK44" s="31">
        <f>COUNTIFS(BK4:BK14, "=In Progress")</f>
        <v>0</v>
      </c>
      <c r="BL44" s="31">
        <f>COUNTIFS(BL4:BL14, "=In Progress")</f>
        <v>0</v>
      </c>
      <c r="BM44" s="29"/>
      <c r="BN44" s="29"/>
      <c r="BO44" s="29"/>
      <c r="BP44" s="29"/>
      <c r="BQ44" s="29"/>
      <c r="BR44" s="32" t="s">
        <v>383</v>
      </c>
      <c r="BS44" s="32" t="s">
        <v>383</v>
      </c>
      <c r="BT44" s="31">
        <f>COUNTIFS(BT4:BT9, "=In Progress")</f>
        <v>0</v>
      </c>
      <c r="BU44" s="31">
        <f>COUNTIFS(BU4:BU9, "=In Progress")</f>
        <v>0</v>
      </c>
      <c r="BV44" s="31">
        <f>COUNTIFS(BV4:BV9, "=In Progress")</f>
        <v>0</v>
      </c>
      <c r="BW44" s="31"/>
      <c r="BX44" s="31">
        <f>COUNTIFS(BX4:BX9, "=In Progress")</f>
        <v>0</v>
      </c>
      <c r="BY44" s="31">
        <f>COUNTIFS(BY4:BY9, "=In Progress")</f>
        <v>0</v>
      </c>
      <c r="BZ44" s="29"/>
      <c r="CA44" s="29"/>
      <c r="CB44" s="29"/>
      <c r="CC44" s="29"/>
      <c r="CD44" s="29"/>
      <c r="CE44" s="32" t="s">
        <v>383</v>
      </c>
      <c r="CF44" s="32" t="s">
        <v>383</v>
      </c>
      <c r="CG44" s="32">
        <f>COUNTIFS(CG4:CG29, "=In Progress")</f>
        <v>0</v>
      </c>
      <c r="CH44" s="32">
        <f>COUNTIFS(CH4:CH29, "=In Progress")</f>
        <v>0</v>
      </c>
      <c r="CI44" s="32">
        <f>COUNTIFS(CI4:CI29, "=In Progress")</f>
        <v>2</v>
      </c>
      <c r="CJ44" s="32"/>
      <c r="CK44" s="32">
        <f>COUNTIFS(CK4:CK29, "=In Progress")</f>
        <v>0</v>
      </c>
      <c r="CL44" s="32">
        <f>COUNTIFS(CL4:CL29, "=In Progress")</f>
        <v>0</v>
      </c>
      <c r="CM44" s="29"/>
      <c r="CN44" s="29"/>
      <c r="CO44" s="29"/>
      <c r="CP44" s="29"/>
      <c r="CQ44" s="30"/>
      <c r="CR44" s="32" t="s">
        <v>383</v>
      </c>
      <c r="CS44" s="32" t="s">
        <v>383</v>
      </c>
      <c r="CT44" s="31">
        <f>COUNTIFS(CT4:CT37, "=In Progress")</f>
        <v>1</v>
      </c>
      <c r="CU44" s="32">
        <f>COUNTIFS(CU4:CU37, "=In Progress")</f>
        <v>0</v>
      </c>
      <c r="CV44" s="31">
        <f>COUNTIFS(CV4:CV37, "=In Progress")</f>
        <v>6</v>
      </c>
      <c r="CW44" s="31"/>
      <c r="CX44" s="31">
        <f>COUNTIFS(CX4:CX37, "=In Progress")</f>
        <v>0</v>
      </c>
      <c r="CY44" s="31">
        <f>COUNTIFS(CY4:CY37, "=In Progress")</f>
        <v>0</v>
      </c>
      <c r="CZ44" s="29"/>
      <c r="DA44" s="29"/>
      <c r="DB44" s="29"/>
      <c r="DC44" s="29"/>
      <c r="DD44" s="29"/>
      <c r="DE44" s="32" t="s">
        <v>383</v>
      </c>
      <c r="DF44" s="32" t="s">
        <v>383</v>
      </c>
      <c r="DG44" s="31">
        <f>COUNTIFS(DG4:DG29, "=In Progress")</f>
        <v>1</v>
      </c>
      <c r="DH44" s="31">
        <f>COUNTIFS(DH4:DH29, "=In Progress")</f>
        <v>1</v>
      </c>
      <c r="DI44" s="31">
        <f>COUNTIFS(DI4:DI29, "=In Progress")</f>
        <v>6</v>
      </c>
      <c r="DJ44" s="31"/>
      <c r="DK44" s="31">
        <f>COUNTIFS(DK4:DK29, "=In Progress")</f>
        <v>0</v>
      </c>
      <c r="DL44" s="31">
        <f>COUNTIFS(DL4:DL29, "=In Progress")</f>
        <v>0</v>
      </c>
      <c r="DM44" s="29"/>
      <c r="DN44" s="29"/>
      <c r="DO44" s="29"/>
      <c r="DP44" s="29"/>
      <c r="DQ44" s="29"/>
      <c r="DR44" s="32" t="s">
        <v>383</v>
      </c>
      <c r="DS44" s="32" t="s">
        <v>383</v>
      </c>
      <c r="DT44" s="31">
        <f>COUNTIFS(DT4:DT31, "=In Progress")</f>
        <v>2</v>
      </c>
      <c r="DU44" s="31">
        <f>COUNTIFS(DU4:DU31, "=In Progress")</f>
        <v>0</v>
      </c>
      <c r="DV44" s="31">
        <f>COUNTIFS(DV4:DV31, "=In Progress")</f>
        <v>0</v>
      </c>
      <c r="DW44" s="31"/>
      <c r="DX44" s="31">
        <f>COUNTIFS(DX4:DX31, "=In Progress")</f>
        <v>0</v>
      </c>
      <c r="DY44" s="31">
        <f>COUNTIFS(DY4:DY31, "=In Progress")</f>
        <v>0</v>
      </c>
      <c r="DZ44" s="29"/>
      <c r="EA44" s="29"/>
      <c r="EB44" s="29"/>
      <c r="EC44" s="29"/>
      <c r="ED44" s="30"/>
      <c r="EE44" s="32" t="s">
        <v>383</v>
      </c>
      <c r="EF44" s="32" t="s">
        <v>383</v>
      </c>
      <c r="EG44" s="31">
        <f>COUNTIFS(EH4:EH18, "=In Progress")</f>
        <v>0</v>
      </c>
      <c r="EH44" s="31">
        <f>COUNTIFS(EI4:EI18, "=In Progress")</f>
        <v>0</v>
      </c>
      <c r="EI44" s="31">
        <f>COUNTIFS(EK4:EK18, "=In Progress")</f>
        <v>0</v>
      </c>
      <c r="EJ44" s="31"/>
      <c r="EK44" s="31">
        <f>COUNTIFS(EL4:EL18, "=In Progress")</f>
        <v>0</v>
      </c>
      <c r="EL44" s="31">
        <f>COUNTIFS(EL4:EL18, "=In Progress")</f>
        <v>0</v>
      </c>
      <c r="EM44" s="29"/>
      <c r="EN44" s="29"/>
      <c r="EO44" s="29"/>
      <c r="EP44" s="29"/>
      <c r="EQ44" s="29"/>
      <c r="ER44" s="32" t="s">
        <v>383</v>
      </c>
      <c r="ES44" s="32" t="s">
        <v>383</v>
      </c>
      <c r="ET44" s="31">
        <f>COUNTIFS(ET4:ET12, "=In Progress")</f>
        <v>0</v>
      </c>
      <c r="EU44" s="31">
        <f>COUNTIFS(EU4:EU12, "=In Progress")</f>
        <v>1</v>
      </c>
      <c r="EV44" s="31">
        <f>COUNTIFS(EV4:EV12, "=In Progress")</f>
        <v>0</v>
      </c>
      <c r="EW44" s="31"/>
      <c r="EX44" s="31">
        <f>COUNTIFS(EX4:EX12, "=In Progress")</f>
        <v>0</v>
      </c>
      <c r="EY44" s="31">
        <f>COUNTIFS(EY4:EY12, "=In Progress")</f>
        <v>0</v>
      </c>
      <c r="EZ44" s="29"/>
      <c r="FA44" s="29"/>
      <c r="FB44" s="36">
        <f>8+13</f>
        <v>21</v>
      </c>
      <c r="FC44" s="45">
        <f>SUM(G$44, T$44, AG$44)</f>
        <v>1</v>
      </c>
      <c r="FD44" s="45">
        <f>SUM(H$44, U$44, AH$44)</f>
        <v>8</v>
      </c>
      <c r="FE44" s="45">
        <f>SUM(I$44, V$44, AI$44)</f>
        <v>0</v>
      </c>
      <c r="FF44" s="45">
        <f>SUM(K$44, X$44, AK$44)</f>
        <v>0</v>
      </c>
      <c r="FG44" s="45">
        <f>SUM(L$44, Y$44, AL$44)</f>
        <v>0</v>
      </c>
      <c r="FH44" s="47">
        <f>SUM(AT$44, BG$44, BT$44)</f>
        <v>1</v>
      </c>
      <c r="FI44" s="47">
        <f>SUM(AU$44, BH$44, BU$44)</f>
        <v>0</v>
      </c>
      <c r="FJ44" s="47">
        <f>SUM(AV$44, BI$44, BV$44)</f>
        <v>0</v>
      </c>
      <c r="FK44" s="47">
        <f>SUM(AX$44, BK$44, BX$44)</f>
        <v>0</v>
      </c>
      <c r="FL44" s="47">
        <f>SUM(AY$44, BL$44, BY$44)</f>
        <v>0</v>
      </c>
      <c r="FM44" s="45">
        <f>SUM(CG$44, CT$44, DG$44)</f>
        <v>2</v>
      </c>
      <c r="FN44" s="45">
        <f>SUM(CH$44, CU$44, DH$44)</f>
        <v>1</v>
      </c>
      <c r="FO44" s="45">
        <f>SUM(CI$44, CV$44, DI$44)</f>
        <v>14</v>
      </c>
      <c r="FP44" s="45">
        <f>SUM(CK$44, CX$44, DK$44)</f>
        <v>0</v>
      </c>
      <c r="FQ44" s="45">
        <f>SUM(CL$44, CY$44, DL$44)</f>
        <v>0</v>
      </c>
      <c r="FR44" s="47">
        <f>SUM(DT$44,EG$44,ET$44)</f>
        <v>2</v>
      </c>
      <c r="FS44" s="47">
        <f>SUM(DU$44,EH$44,EU$44)</f>
        <v>1</v>
      </c>
      <c r="FT44" s="47">
        <f>SUM(DV$44,EI$44,EV$44)</f>
        <v>0</v>
      </c>
      <c r="FU44" s="47">
        <f>SUM(DX$44,EK$44,EX$44)</f>
        <v>0</v>
      </c>
      <c r="FV44" s="47">
        <f>SUM(DY$44,EL$44,EY$44)</f>
        <v>0</v>
      </c>
      <c r="FW44" s="36"/>
      <c r="FX44" s="51"/>
      <c r="FY44" s="51"/>
      <c r="FZ44" s="51"/>
      <c r="GA44" s="51"/>
      <c r="GB44" s="35"/>
      <c r="GC44" s="41">
        <f t="shared" si="0"/>
        <v>0</v>
      </c>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row>
    <row r="45" spans="1:235">
      <c r="A45" s="28" t="s">
        <v>1583</v>
      </c>
      <c r="B45" s="28"/>
      <c r="C45" s="29"/>
      <c r="D45" s="29"/>
      <c r="E45" s="32" t="s">
        <v>383</v>
      </c>
      <c r="F45" s="32" t="s">
        <v>383</v>
      </c>
      <c r="G45" s="31">
        <f>COUNTIFS(G4:G28, "=Planned")</f>
        <v>0</v>
      </c>
      <c r="H45" s="31">
        <f>COUNTIFS(H4:H28, "=Planned")</f>
        <v>0</v>
      </c>
      <c r="I45" s="31">
        <f>COUNTIFS(I4:I28, "=Planned")</f>
        <v>0</v>
      </c>
      <c r="J45" s="31"/>
      <c r="K45" s="31">
        <f>COUNTIFS(K4:K28, "=Planned")</f>
        <v>7</v>
      </c>
      <c r="L45" s="31">
        <f>COUNTIFS(L4:L28, "=Planned")</f>
        <v>7</v>
      </c>
      <c r="M45" s="29"/>
      <c r="N45" s="29"/>
      <c r="O45" s="29"/>
      <c r="P45" s="29"/>
      <c r="Q45" s="30"/>
      <c r="R45" s="32" t="s">
        <v>383</v>
      </c>
      <c r="S45" s="32" t="s">
        <v>383</v>
      </c>
      <c r="T45" s="31">
        <f>COUNTIFS(T4:T28, "=Planned")</f>
        <v>0</v>
      </c>
      <c r="U45" s="31">
        <f>COUNTIFS(U4:U28, "=Planned")</f>
        <v>0</v>
      </c>
      <c r="V45" s="31">
        <f>COUNTIFS(V4:V28, "=Planned")</f>
        <v>0</v>
      </c>
      <c r="W45" s="31"/>
      <c r="X45" s="31">
        <f>COUNTIFS(X4:X28, "=Planned")</f>
        <v>12</v>
      </c>
      <c r="Y45" s="31">
        <f>COUNTIFS(Y4:Y28, "=Planned")</f>
        <v>12</v>
      </c>
      <c r="Z45" s="29"/>
      <c r="AA45" s="29"/>
      <c r="AB45" s="29"/>
      <c r="AC45" s="29"/>
      <c r="AD45" s="29"/>
      <c r="AE45" s="32" t="s">
        <v>383</v>
      </c>
      <c r="AF45" s="32" t="s">
        <v>383</v>
      </c>
      <c r="AG45" s="31">
        <f>COUNTIFS(AG4:AG28, "=Planned")</f>
        <v>0</v>
      </c>
      <c r="AH45" s="31">
        <f>COUNTIFS(AH4:AH28, "=Planned")</f>
        <v>0</v>
      </c>
      <c r="AI45" s="31">
        <f>COUNTIFS(AI4:AI28, "=Planned")</f>
        <v>0</v>
      </c>
      <c r="AJ45" s="31"/>
      <c r="AK45" s="31">
        <f>COUNTIFS(AK4:AK28, "=Planned")</f>
        <v>2</v>
      </c>
      <c r="AL45" s="31">
        <f>COUNTIFS(AL4:AL28, "=Planned")</f>
        <v>2</v>
      </c>
      <c r="AM45" s="29"/>
      <c r="AN45" s="29"/>
      <c r="AO45" s="29"/>
      <c r="AP45" s="29"/>
      <c r="AQ45" s="29"/>
      <c r="AR45" s="32" t="s">
        <v>383</v>
      </c>
      <c r="AS45" s="32" t="s">
        <v>383</v>
      </c>
      <c r="AT45" s="31">
        <f>COUNTIFS(AT4:AT19, "=Planned")</f>
        <v>0</v>
      </c>
      <c r="AU45" s="31">
        <f>COUNTIFS(AU4:AU19, "=Planned")</f>
        <v>0</v>
      </c>
      <c r="AV45" s="31">
        <f>COUNTIFS(AV4:AV19, "=Planned")</f>
        <v>0</v>
      </c>
      <c r="AW45" s="31"/>
      <c r="AX45" s="31">
        <f>COUNTIFS(AX4:AX19, "=Planned")</f>
        <v>8</v>
      </c>
      <c r="AY45" s="31">
        <f>COUNTIFS(AY4:AY19, "=Planned")</f>
        <v>8</v>
      </c>
      <c r="AZ45" s="29"/>
      <c r="BA45" s="29"/>
      <c r="BB45" s="29"/>
      <c r="BC45" s="29"/>
      <c r="BD45" s="30"/>
      <c r="BE45" s="32" t="s">
        <v>383</v>
      </c>
      <c r="BF45" s="32" t="s">
        <v>383</v>
      </c>
      <c r="BG45" s="31">
        <f>COUNTIFS(BG4:BG14, "=Planned")</f>
        <v>0</v>
      </c>
      <c r="BH45" s="31">
        <f>COUNTIFS(BH4:BH14, "=Planned")</f>
        <v>0</v>
      </c>
      <c r="BI45" s="31">
        <f>COUNTIFS(BI4:BI14, "=Planned")</f>
        <v>0</v>
      </c>
      <c r="BJ45" s="31"/>
      <c r="BK45" s="31">
        <f>COUNTIFS(BK4:BK14, "=Planned")</f>
        <v>5</v>
      </c>
      <c r="BL45" s="31">
        <f>COUNTIFS(BL4:BL14, "=Planned")</f>
        <v>5</v>
      </c>
      <c r="BM45" s="29"/>
      <c r="BN45" s="29"/>
      <c r="BO45" s="29"/>
      <c r="BP45" s="29"/>
      <c r="BQ45" s="29"/>
      <c r="BR45" s="32" t="s">
        <v>383</v>
      </c>
      <c r="BS45" s="32" t="s">
        <v>383</v>
      </c>
      <c r="BT45" s="31">
        <f>COUNTIFS(BT4:BT9, "=Planned")</f>
        <v>0</v>
      </c>
      <c r="BU45" s="31">
        <f>COUNTIFS(BU4:BU9, "=Planned")</f>
        <v>0</v>
      </c>
      <c r="BV45" s="31">
        <f>COUNTIFS(BV4:BV9, "=Planned")</f>
        <v>0</v>
      </c>
      <c r="BW45" s="31"/>
      <c r="BX45" s="31">
        <f>COUNTIFS(BX4:BX9, "=Planned")</f>
        <v>3</v>
      </c>
      <c r="BY45" s="31">
        <f>COUNTIFS(BY4:BY9, "=Planned")</f>
        <v>3</v>
      </c>
      <c r="BZ45" s="29"/>
      <c r="CA45" s="29"/>
      <c r="CB45" s="29"/>
      <c r="CC45" s="29"/>
      <c r="CD45" s="29"/>
      <c r="CE45" s="32" t="s">
        <v>383</v>
      </c>
      <c r="CF45" s="32" t="s">
        <v>383</v>
      </c>
      <c r="CG45" s="32">
        <f>COUNTIFS(CG4:CG29, "=Planned")</f>
        <v>0</v>
      </c>
      <c r="CH45" s="32">
        <f>COUNTIFS(CH4:CH29, "=Planned")</f>
        <v>0</v>
      </c>
      <c r="CI45" s="32">
        <f>COUNTIFS(CI4:CI29, "=Planned")</f>
        <v>0</v>
      </c>
      <c r="CJ45" s="32"/>
      <c r="CK45" s="32">
        <f>COUNTIFS(CK4:CK29, "=Planned")</f>
        <v>9</v>
      </c>
      <c r="CL45" s="32">
        <f>COUNTIFS(CL4:CL29, "=Planned")</f>
        <v>9</v>
      </c>
      <c r="CM45" s="29"/>
      <c r="CN45" s="29"/>
      <c r="CO45" s="29"/>
      <c r="CP45" s="29"/>
      <c r="CQ45" s="30"/>
      <c r="CR45" s="32" t="s">
        <v>383</v>
      </c>
      <c r="CS45" s="32" t="s">
        <v>383</v>
      </c>
      <c r="CT45" s="31">
        <f>COUNTIFS(CT4:CT37, "=Planned")</f>
        <v>0</v>
      </c>
      <c r="CU45" s="32">
        <f>COUNTIFS(CU4:CU37, "=Planned")</f>
        <v>0</v>
      </c>
      <c r="CV45" s="31">
        <f>COUNTIFS(CV4:CV37, "=Planned")</f>
        <v>0</v>
      </c>
      <c r="CW45" s="31"/>
      <c r="CX45" s="31">
        <f>COUNTIFS(CX4:CX37, "=Planned")</f>
        <v>10</v>
      </c>
      <c r="CY45" s="31">
        <f>COUNTIFS(CY4:CY37, "=Planned")</f>
        <v>10</v>
      </c>
      <c r="CZ45" s="29"/>
      <c r="DA45" s="29"/>
      <c r="DB45" s="29"/>
      <c r="DC45" s="29"/>
      <c r="DD45" s="29"/>
      <c r="DE45" s="32" t="s">
        <v>383</v>
      </c>
      <c r="DF45" s="32" t="s">
        <v>383</v>
      </c>
      <c r="DG45" s="31">
        <f>COUNTIFS(DG4:DG29, "=Planned")</f>
        <v>0</v>
      </c>
      <c r="DH45" s="31">
        <f>COUNTIFS(DH4:DH29, "=Planned")</f>
        <v>0</v>
      </c>
      <c r="DI45" s="31">
        <f>COUNTIFS(DI4:DI29, "=Planned")</f>
        <v>0</v>
      </c>
      <c r="DJ45" s="31"/>
      <c r="DK45" s="31">
        <f>COUNTIFS(DK4:DK29, "=Planned")</f>
        <v>5</v>
      </c>
      <c r="DL45" s="31">
        <f>COUNTIFS(DL4:DL29, "=Planned")</f>
        <v>5</v>
      </c>
      <c r="DM45" s="29"/>
      <c r="DN45" s="29"/>
      <c r="DO45" s="29"/>
      <c r="DP45" s="29"/>
      <c r="DQ45" s="29"/>
      <c r="DR45" s="32" t="s">
        <v>383</v>
      </c>
      <c r="DS45" s="32" t="s">
        <v>383</v>
      </c>
      <c r="DT45" s="31">
        <f>COUNTIFS(DT4:DT31, "=Planned")</f>
        <v>0</v>
      </c>
      <c r="DU45" s="31">
        <f>COUNTIFS(DU4:DU31, "=Planned")</f>
        <v>0</v>
      </c>
      <c r="DV45" s="31">
        <f>COUNTIFS(DV4:DV31, "=Planned")</f>
        <v>8</v>
      </c>
      <c r="DW45" s="31"/>
      <c r="DX45" s="31">
        <f>COUNTIFS(DX4:DX31, "=Planned")</f>
        <v>8</v>
      </c>
      <c r="DY45" s="31">
        <f>COUNTIFS(DY4:DY31, "=Planned")</f>
        <v>8</v>
      </c>
      <c r="DZ45" s="29"/>
      <c r="EA45" s="29"/>
      <c r="EB45" s="29"/>
      <c r="EC45" s="29"/>
      <c r="ED45" s="30"/>
      <c r="EE45" s="32" t="s">
        <v>383</v>
      </c>
      <c r="EF45" s="32" t="s">
        <v>383</v>
      </c>
      <c r="EG45" s="31">
        <f>COUNTIFS(EH4:EH18, "=Planned")</f>
        <v>0</v>
      </c>
      <c r="EH45" s="31">
        <f>COUNTIFS(EI4:EI18, "=Planned")</f>
        <v>1</v>
      </c>
      <c r="EI45" s="31">
        <f>COUNTIFS(EK4:EK18, "=Planned")</f>
        <v>1</v>
      </c>
      <c r="EJ45" s="31"/>
      <c r="EK45" s="31">
        <f>COUNTIFS(EL4:EL18, "=Planned")</f>
        <v>1</v>
      </c>
      <c r="EL45" s="31">
        <f>COUNTIFS(EL4:EL18, "=Planned")</f>
        <v>1</v>
      </c>
      <c r="EM45" s="29"/>
      <c r="EN45" s="29"/>
      <c r="EO45" s="29"/>
      <c r="EP45" s="29"/>
      <c r="EQ45" s="29"/>
      <c r="ER45" s="32" t="s">
        <v>383</v>
      </c>
      <c r="ES45" s="32" t="s">
        <v>383</v>
      </c>
      <c r="ET45" s="31">
        <f>COUNTIFS(ET4:ET12, "=Planned")</f>
        <v>0</v>
      </c>
      <c r="EU45" s="31">
        <f>COUNTIFS(EU4:EU12, "=Planned")</f>
        <v>0</v>
      </c>
      <c r="EV45" s="31">
        <f>COUNTIFS(EV4:EV12, "=Planned")</f>
        <v>0</v>
      </c>
      <c r="EW45" s="31"/>
      <c r="EX45" s="31">
        <f>COUNTIFS(EX4:EX12, "=Planned")</f>
        <v>0</v>
      </c>
      <c r="EY45" s="31">
        <f>COUNTIFS(EY4:EY12, "=Planned")</f>
        <v>0</v>
      </c>
      <c r="EZ45" s="33"/>
      <c r="FA45" s="33"/>
      <c r="FB45" s="36"/>
      <c r="FC45" s="45">
        <f>SUM(G$45, T$45, AG$45)</f>
        <v>0</v>
      </c>
      <c r="FD45" s="45">
        <f>SUM(H$45, U$45, AH$45)</f>
        <v>0</v>
      </c>
      <c r="FE45" s="45">
        <f>SUM(I$45, V$45, AI$45)</f>
        <v>0</v>
      </c>
      <c r="FF45" s="45">
        <f>SUM(K$45, X$45, AK$45)</f>
        <v>21</v>
      </c>
      <c r="FG45" s="45">
        <f>SUM(L$45, Y$45, AL$45)</f>
        <v>21</v>
      </c>
      <c r="FH45" s="47">
        <f>SUM(AT$45, BG$45, BT$45)</f>
        <v>0</v>
      </c>
      <c r="FI45" s="47">
        <f>SUM(AU$45, BH$45, BU$45)</f>
        <v>0</v>
      </c>
      <c r="FJ45" s="47">
        <f>SUM(AV$45, BI$45, BV$45)</f>
        <v>0</v>
      </c>
      <c r="FK45" s="47">
        <f>SUM(AX$45, BK$45, BX$45)</f>
        <v>16</v>
      </c>
      <c r="FL45" s="47">
        <f>SUM(AY$45, BL$45, BY$45)</f>
        <v>16</v>
      </c>
      <c r="FM45" s="45">
        <f>SUM(CG$45, CT$45, DG$45)</f>
        <v>0</v>
      </c>
      <c r="FN45" s="45">
        <f>SUM(CH$45, CU$45, DH$45)</f>
        <v>0</v>
      </c>
      <c r="FO45" s="45">
        <f>SUM(CI$45, CV$45, DI$45)</f>
        <v>0</v>
      </c>
      <c r="FP45" s="45">
        <f>SUM(CK$45, CX$45, DK$45)</f>
        <v>24</v>
      </c>
      <c r="FQ45" s="45">
        <f>SUM(CL$45, CY$45, DL$45)</f>
        <v>24</v>
      </c>
      <c r="FR45" s="47">
        <f>SUM(DT$45,EG$45,ET$45)</f>
        <v>0</v>
      </c>
      <c r="FS45" s="47">
        <f>SUM(DU$45,EH$45,EU$45)</f>
        <v>1</v>
      </c>
      <c r="FT45" s="47">
        <f>SUM(DV$45,EI$45,EV$45)</f>
        <v>9</v>
      </c>
      <c r="FU45" s="47">
        <f>SUM(DX$45,EK$45,EX$45)</f>
        <v>9</v>
      </c>
      <c r="FV45" s="47">
        <f>SUM(DY$45,EL$45,EY$45)</f>
        <v>9</v>
      </c>
      <c r="FW45" s="36"/>
      <c r="FX45" s="51"/>
      <c r="FY45" s="51"/>
      <c r="FZ45" s="51"/>
      <c r="GA45" s="51"/>
      <c r="GB45" s="36"/>
      <c r="GC45" s="41">
        <f t="shared" si="0"/>
        <v>0</v>
      </c>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row>
    <row r="46" spans="1:235">
      <c r="A46" s="28" t="s">
        <v>1584</v>
      </c>
      <c r="B46" s="28"/>
      <c r="C46" s="29"/>
      <c r="D46" s="29"/>
      <c r="E46" s="32" t="s">
        <v>383</v>
      </c>
      <c r="F46" s="32" t="s">
        <v>383</v>
      </c>
      <c r="G46" s="31">
        <f>COUNTIFS(G4:G28, "=Tentative")</f>
        <v>0</v>
      </c>
      <c r="H46" s="31">
        <f>COUNTIFS(H4:H28, "=Tentative")</f>
        <v>0</v>
      </c>
      <c r="I46" s="31">
        <f>COUNTIFS(I4:I28, "=Tentative")</f>
        <v>0</v>
      </c>
      <c r="J46" s="31"/>
      <c r="K46" s="31">
        <f>COUNTIFS(K4:K28, "=Tentative")</f>
        <v>0</v>
      </c>
      <c r="L46" s="31">
        <f>COUNTIFS(L4:L28, "=Tentative")</f>
        <v>0</v>
      </c>
      <c r="M46" s="29"/>
      <c r="N46" s="29"/>
      <c r="O46" s="29"/>
      <c r="P46" s="29"/>
      <c r="Q46" s="29"/>
      <c r="R46" s="32" t="s">
        <v>383</v>
      </c>
      <c r="S46" s="32" t="s">
        <v>383</v>
      </c>
      <c r="T46" s="31">
        <f>COUNTIFS(T4:T28, "=Tentative")</f>
        <v>0</v>
      </c>
      <c r="U46" s="31">
        <f>COUNTIFS(U4:U28, "=Tentative")</f>
        <v>0</v>
      </c>
      <c r="V46" s="31">
        <f>COUNTIFS(V4:V28, "=Tentative")</f>
        <v>0</v>
      </c>
      <c r="W46" s="31"/>
      <c r="X46" s="31">
        <f>COUNTIFS(X4:X28, "=Tentative")</f>
        <v>0</v>
      </c>
      <c r="Y46" s="31">
        <f>COUNTIFS(Y4:Y28, "=Tentative")</f>
        <v>0</v>
      </c>
      <c r="Z46" s="29"/>
      <c r="AA46" s="29"/>
      <c r="AB46" s="29"/>
      <c r="AC46" s="29"/>
      <c r="AD46" s="29"/>
      <c r="AE46" s="32" t="s">
        <v>383</v>
      </c>
      <c r="AF46" s="32" t="s">
        <v>383</v>
      </c>
      <c r="AG46" s="31">
        <f>COUNTIFS(AG4:AG28, "=Tentative")</f>
        <v>0</v>
      </c>
      <c r="AH46" s="31">
        <f>COUNTIFS(AH4:AH28, "=Tentative")</f>
        <v>0</v>
      </c>
      <c r="AI46" s="31">
        <f>COUNTIFS(AI4:AI28, "=Tentative")</f>
        <v>0</v>
      </c>
      <c r="AJ46" s="31"/>
      <c r="AK46" s="31">
        <f>COUNTIFS(AK4:AK28, "=Tentative")</f>
        <v>0</v>
      </c>
      <c r="AL46" s="31">
        <f>COUNTIFS(AL4:AL28, "=Tentative")</f>
        <v>0</v>
      </c>
      <c r="AM46" s="29"/>
      <c r="AN46" s="29"/>
      <c r="AO46" s="29"/>
      <c r="AP46" s="29"/>
      <c r="AQ46" s="29"/>
      <c r="AR46" s="32" t="s">
        <v>383</v>
      </c>
      <c r="AS46" s="32" t="s">
        <v>383</v>
      </c>
      <c r="AT46" s="31">
        <f>COUNTIFS(AT4:AT19, "=Tentative")</f>
        <v>0</v>
      </c>
      <c r="AU46" s="31">
        <f>COUNTIFS(AU4:AU19, "=Tentative")</f>
        <v>0</v>
      </c>
      <c r="AV46" s="31">
        <f>COUNTIFS(AV4:AV19, "=Tentative")</f>
        <v>0</v>
      </c>
      <c r="AW46" s="31"/>
      <c r="AX46" s="31">
        <f>COUNTIFS(AX4:AX19, "=Tentative")</f>
        <v>0</v>
      </c>
      <c r="AY46" s="31">
        <f>COUNTIFS(AY4:AY19, "=Tentative")</f>
        <v>0</v>
      </c>
      <c r="AZ46" s="29"/>
      <c r="BA46" s="29"/>
      <c r="BB46" s="29"/>
      <c r="BC46" s="29"/>
      <c r="BD46" s="29"/>
      <c r="BE46" s="32" t="s">
        <v>383</v>
      </c>
      <c r="BF46" s="32" t="s">
        <v>383</v>
      </c>
      <c r="BG46" s="31">
        <f>COUNTIFS(BG4:BG14, "=Tentative")</f>
        <v>0</v>
      </c>
      <c r="BH46" s="31">
        <f>COUNTIFS(BH4:BH14, "=Tentative")</f>
        <v>0</v>
      </c>
      <c r="BI46" s="31">
        <f>COUNTIFS(BI4:BI14, "=Tentative")</f>
        <v>0</v>
      </c>
      <c r="BJ46" s="31"/>
      <c r="BK46" s="31">
        <f>COUNTIFS(BK4:BK14, "=Tentative")</f>
        <v>0</v>
      </c>
      <c r="BL46" s="31">
        <f>COUNTIFS(BL4:BL14, "=Tentative")</f>
        <v>0</v>
      </c>
      <c r="BM46" s="29"/>
      <c r="BN46" s="29"/>
      <c r="BO46" s="29"/>
      <c r="BP46" s="29"/>
      <c r="BQ46" s="29"/>
      <c r="BR46" s="32" t="s">
        <v>383</v>
      </c>
      <c r="BS46" s="32" t="s">
        <v>383</v>
      </c>
      <c r="BT46" s="31">
        <f>COUNTIFS(BT4:BT9, "=Tentative")</f>
        <v>0</v>
      </c>
      <c r="BU46" s="31">
        <f>COUNTIFS(BU4:BU9, "=Tentative")</f>
        <v>0</v>
      </c>
      <c r="BV46" s="31">
        <f>COUNTIFS(BV4:BV9, "=Tentative")</f>
        <v>0</v>
      </c>
      <c r="BW46" s="31"/>
      <c r="BX46" s="31">
        <f>COUNTIFS(BX4:BX9, "=Tentative")</f>
        <v>0</v>
      </c>
      <c r="BY46" s="31">
        <f>COUNTIFS(BY4:BY9, "=Tentative")</f>
        <v>0</v>
      </c>
      <c r="BZ46" s="29"/>
      <c r="CA46" s="29"/>
      <c r="CB46" s="29"/>
      <c r="CC46" s="29"/>
      <c r="CD46" s="29"/>
      <c r="CE46" s="32" t="s">
        <v>383</v>
      </c>
      <c r="CF46" s="32" t="s">
        <v>383</v>
      </c>
      <c r="CG46" s="32">
        <f>COUNTIFS(CG4:CG29, "=Tentative")</f>
        <v>0</v>
      </c>
      <c r="CH46" s="32">
        <f>COUNTIFS(CH4:CH29, "=Tentative")</f>
        <v>0</v>
      </c>
      <c r="CI46" s="32">
        <f>COUNTIFS(CI4:CI29, "=Tentative")</f>
        <v>0</v>
      </c>
      <c r="CJ46" s="32"/>
      <c r="CK46" s="32">
        <f>COUNTIFS(CK4:CK29, "=Tentative")</f>
        <v>0</v>
      </c>
      <c r="CL46" s="32">
        <f>COUNTIFS(CL4:CL29, "=Tentative")</f>
        <v>0</v>
      </c>
      <c r="CM46" s="29"/>
      <c r="CN46" s="29"/>
      <c r="CO46" s="29"/>
      <c r="CP46" s="29"/>
      <c r="CQ46" s="29"/>
      <c r="CR46" s="32" t="s">
        <v>383</v>
      </c>
      <c r="CS46" s="32" t="s">
        <v>383</v>
      </c>
      <c r="CT46" s="31">
        <f>COUNTIFS(CT4:CT37, "=Tentative")</f>
        <v>0</v>
      </c>
      <c r="CU46" s="31">
        <f>COUNTIFS(CU4:CU37, "=Tentative")</f>
        <v>0</v>
      </c>
      <c r="CV46" s="31">
        <f>COUNTIFS(CV4:CV37, "=Tentative")</f>
        <v>1</v>
      </c>
      <c r="CW46" s="31"/>
      <c r="CX46" s="31">
        <f>COUNTIFS(CX4:CX37, "=Tentative")</f>
        <v>0</v>
      </c>
      <c r="CY46" s="31">
        <f>COUNTIFS(CY4:CY37, "=Tentative")</f>
        <v>0</v>
      </c>
      <c r="CZ46" s="29"/>
      <c r="DA46" s="29"/>
      <c r="DB46" s="29"/>
      <c r="DC46" s="29"/>
      <c r="DD46" s="29"/>
      <c r="DE46" s="32" t="s">
        <v>383</v>
      </c>
      <c r="DF46" s="32" t="s">
        <v>383</v>
      </c>
      <c r="DG46" s="31">
        <f>COUNTIFS(DG4:DG29, "=Tentative")</f>
        <v>0</v>
      </c>
      <c r="DH46" s="31">
        <f>COUNTIFS(DH4:DH29, "=Tentative")</f>
        <v>0</v>
      </c>
      <c r="DI46" s="31">
        <f>COUNTIFS(DI4:DI29, "=Tentative")</f>
        <v>2</v>
      </c>
      <c r="DJ46" s="31"/>
      <c r="DK46" s="31">
        <f>COUNTIFS(DK4:DK29, "=Tentative")</f>
        <v>4</v>
      </c>
      <c r="DL46" s="31">
        <f>COUNTIFS(DL4:DL29, "=Tentative")</f>
        <v>4</v>
      </c>
      <c r="DM46" s="29"/>
      <c r="DN46" s="29"/>
      <c r="DO46" s="29"/>
      <c r="DP46" s="29"/>
      <c r="DQ46" s="29"/>
      <c r="DR46" s="32" t="s">
        <v>383</v>
      </c>
      <c r="DS46" s="32" t="s">
        <v>383</v>
      </c>
      <c r="DT46" s="31">
        <f>COUNTIFS(DT4:DT31, "=Tentative")</f>
        <v>0</v>
      </c>
      <c r="DU46" s="31">
        <f>COUNTIFS(DU4:DU31, "=Tentative")</f>
        <v>0</v>
      </c>
      <c r="DV46" s="31">
        <f>COUNTIFS(DV4:DV31, "=Tentative")</f>
        <v>3</v>
      </c>
      <c r="DW46" s="31"/>
      <c r="DX46" s="31">
        <f>COUNTIFS(DX4:DX31, "=Tentative")</f>
        <v>3</v>
      </c>
      <c r="DY46" s="31">
        <f>COUNTIFS(DY4:DY31, "=Tentative")</f>
        <v>3</v>
      </c>
      <c r="DZ46" s="29"/>
      <c r="EA46" s="29"/>
      <c r="EB46" s="29"/>
      <c r="EC46" s="29"/>
      <c r="ED46" s="29"/>
      <c r="EE46" s="32" t="s">
        <v>383</v>
      </c>
      <c r="EF46" s="32" t="s">
        <v>383</v>
      </c>
      <c r="EG46" s="31">
        <f>COUNTIFS(EH4:EH18, "=Tentative")</f>
        <v>0</v>
      </c>
      <c r="EH46" s="31">
        <f>COUNTIFS(EH4:EH18, "=Tentative")</f>
        <v>0</v>
      </c>
      <c r="EI46" s="31">
        <f>COUNTIFS(EI4:EI18, "=Tentative")</f>
        <v>3</v>
      </c>
      <c r="EJ46" s="31"/>
      <c r="EK46" s="31">
        <f>COUNTIFS(EK4:EK18, "=Tentative")</f>
        <v>3</v>
      </c>
      <c r="EL46" s="31">
        <f>COUNTIFS(EL4:EL18, "=Tentative")</f>
        <v>3</v>
      </c>
      <c r="EM46" s="29"/>
      <c r="EN46" s="29"/>
      <c r="EO46" s="29"/>
      <c r="EP46" s="29"/>
      <c r="EQ46" s="29"/>
      <c r="ER46" s="32" t="s">
        <v>383</v>
      </c>
      <c r="ES46" s="32" t="s">
        <v>383</v>
      </c>
      <c r="ET46" s="31">
        <f>COUNTIFS(ET4:ET12, "=Tentative")</f>
        <v>0</v>
      </c>
      <c r="EU46" s="31">
        <f>COUNTIFS(EU4:EU12, "=Tentative")</f>
        <v>0</v>
      </c>
      <c r="EV46" s="31">
        <f>COUNTIFS(EV4:EV12, "=Tentative")</f>
        <v>1</v>
      </c>
      <c r="EW46" s="31"/>
      <c r="EX46" s="31">
        <f>COUNTIFS(EX4:EX12, "=Tentative")</f>
        <v>1</v>
      </c>
      <c r="EY46" s="31">
        <f>COUNTIFS(EY4:EY12, "=Tentative")</f>
        <v>1</v>
      </c>
      <c r="EZ46" s="33"/>
      <c r="FA46" s="33"/>
      <c r="FB46" s="36"/>
      <c r="FC46" s="45">
        <f>SUM(G$46, T$46, AG$46)</f>
        <v>0</v>
      </c>
      <c r="FD46" s="45">
        <f>SUM(H$46, U$46, AH$46)</f>
        <v>0</v>
      </c>
      <c r="FE46" s="45">
        <f>SUM(I$46, V$46, AI$46)</f>
        <v>0</v>
      </c>
      <c r="FF46" s="45">
        <f>SUM(K$46, X$46, AK$46)</f>
        <v>0</v>
      </c>
      <c r="FG46" s="45">
        <f>SUM(L$46, Y$46, AL$46)</f>
        <v>0</v>
      </c>
      <c r="FH46" s="47">
        <f>SUM(AT$46, BG$46, BT$46)</f>
        <v>0</v>
      </c>
      <c r="FI46" s="47">
        <f>SUM(AU$46, BH$46, BU$46)</f>
        <v>0</v>
      </c>
      <c r="FJ46" s="47">
        <f>SUM(AV$46, BI$46, BV$46)</f>
        <v>0</v>
      </c>
      <c r="FK46" s="47">
        <f>SUM(AX$46, BK$46, BX$46)</f>
        <v>0</v>
      </c>
      <c r="FL46" s="47">
        <f>SUM(AY$46, BL$46, BY$46)</f>
        <v>0</v>
      </c>
      <c r="FM46" s="45">
        <f>SUM(CG$46, CT$46, DG$46)</f>
        <v>0</v>
      </c>
      <c r="FN46" s="45">
        <f>SUM(CH$46, CU$46, DH$46)</f>
        <v>0</v>
      </c>
      <c r="FO46" s="45">
        <f>SUM(CI$46, CV$46, DI$46)</f>
        <v>3</v>
      </c>
      <c r="FP46" s="45">
        <f>SUM(CK$46, CX$46, DK$46)</f>
        <v>4</v>
      </c>
      <c r="FQ46" s="45">
        <f>SUM(CL$46, CY$46, DL$46)</f>
        <v>4</v>
      </c>
      <c r="FR46" s="47">
        <f>SUM(DT$46,EG$46,ET$46)</f>
        <v>0</v>
      </c>
      <c r="FS46" s="47">
        <f>SUM(DU$46,EH$46,EU$46)</f>
        <v>0</v>
      </c>
      <c r="FT46" s="47">
        <f>SUM(DV$46,EI$46,EV$46)</f>
        <v>7</v>
      </c>
      <c r="FU46" s="47">
        <f>SUM(DX$46,EK$46,EX$46)</f>
        <v>7</v>
      </c>
      <c r="FV46" s="47">
        <f>SUM(DY$46,EL$46,EY$46)</f>
        <v>7</v>
      </c>
      <c r="FW46" s="36"/>
      <c r="FX46" s="51"/>
      <c r="FY46" s="51"/>
      <c r="FZ46" s="51"/>
      <c r="GA46" s="51"/>
      <c r="GB46" s="36"/>
      <c r="GC46" s="41">
        <f t="shared" si="0"/>
        <v>0</v>
      </c>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row>
    <row r="47" spans="1:235">
      <c r="A47" s="42" t="s">
        <v>1585</v>
      </c>
      <c r="B47" s="28"/>
      <c r="C47" s="29"/>
      <c r="D47" s="29"/>
      <c r="E47" s="28"/>
      <c r="F47" s="28"/>
      <c r="G47" s="28"/>
      <c r="H47" s="28"/>
      <c r="I47" s="28"/>
      <c r="J47" s="28"/>
      <c r="K47" s="28"/>
      <c r="L47" s="28"/>
      <c r="M47" s="31">
        <f>COUNTIFS(C$3:C$38, "=CEE")</f>
        <v>1</v>
      </c>
      <c r="N47" s="34"/>
      <c r="O47" s="29"/>
      <c r="P47" s="29"/>
      <c r="Q47" s="29"/>
      <c r="R47" s="33"/>
      <c r="S47" s="33"/>
      <c r="T47" s="34"/>
      <c r="U47" s="34"/>
      <c r="V47" s="34"/>
      <c r="W47" s="34"/>
      <c r="X47" s="34"/>
      <c r="Y47" s="34"/>
      <c r="Z47" s="31">
        <f>COUNTIFS(P$3:P$38, "=CEE")</f>
        <v>1</v>
      </c>
      <c r="AA47" s="34"/>
      <c r="AB47" s="29"/>
      <c r="AC47" s="29"/>
      <c r="AD47" s="29"/>
      <c r="AE47" s="33"/>
      <c r="AF47" s="33"/>
      <c r="AG47" s="34"/>
      <c r="AH47" s="34"/>
      <c r="AI47" s="34"/>
      <c r="AJ47" s="34"/>
      <c r="AK47" s="34"/>
      <c r="AL47" s="34"/>
      <c r="AM47" s="31">
        <f>COUNTIFS(AC$3:AC$38, "=CEE")</f>
        <v>1</v>
      </c>
      <c r="AN47" s="34"/>
      <c r="AO47" s="29"/>
      <c r="AP47" s="29"/>
      <c r="AQ47" s="29"/>
      <c r="AR47" s="33"/>
      <c r="AS47" s="33"/>
      <c r="AT47" s="34"/>
      <c r="AU47" s="34"/>
      <c r="AV47" s="34"/>
      <c r="AW47" s="34"/>
      <c r="AX47" s="34"/>
      <c r="AY47" s="34"/>
      <c r="AZ47" s="31">
        <f>COUNTIFS(AP$3:AP$38, "=CEE")</f>
        <v>0</v>
      </c>
      <c r="BA47" s="34"/>
      <c r="BB47" s="29"/>
      <c r="BC47" s="29"/>
      <c r="BD47" s="29"/>
      <c r="BE47" s="33"/>
      <c r="BF47" s="33"/>
      <c r="BG47" s="34"/>
      <c r="BH47" s="34"/>
      <c r="BI47" s="34"/>
      <c r="BJ47" s="34"/>
      <c r="BK47" s="34"/>
      <c r="BL47" s="34"/>
      <c r="BM47" s="31">
        <f>COUNTIFS(BC$3:BC$38, "=CEE")</f>
        <v>1</v>
      </c>
      <c r="BN47" s="34"/>
      <c r="BO47" s="29"/>
      <c r="BP47" s="29"/>
      <c r="BQ47" s="29"/>
      <c r="BR47" s="33"/>
      <c r="BS47" s="33"/>
      <c r="BT47" s="34"/>
      <c r="BU47" s="34"/>
      <c r="BV47" s="34"/>
      <c r="BW47" s="34"/>
      <c r="BX47" s="34"/>
      <c r="BY47" s="34"/>
      <c r="BZ47" s="31">
        <f>COUNTIFS(BP$3:BP$38, "=CEE")</f>
        <v>0</v>
      </c>
      <c r="CA47" s="34"/>
      <c r="CB47" s="29"/>
      <c r="CC47" s="29"/>
      <c r="CD47" s="29"/>
      <c r="CE47" s="33"/>
      <c r="CF47" s="33"/>
      <c r="CG47" s="34"/>
      <c r="CH47" s="34"/>
      <c r="CI47" s="34"/>
      <c r="CJ47" s="34"/>
      <c r="CK47" s="34"/>
      <c r="CL47" s="34"/>
      <c r="CM47" s="31">
        <f>COUNTIFS(CC$3:CC$38, "=CEE")</f>
        <v>1</v>
      </c>
      <c r="CN47" s="34"/>
      <c r="CO47" s="29"/>
      <c r="CP47" s="29"/>
      <c r="CQ47" s="29"/>
      <c r="CR47" s="33"/>
      <c r="CS47" s="33"/>
      <c r="CT47" s="34"/>
      <c r="CU47" s="34"/>
      <c r="CV47" s="34"/>
      <c r="CW47" s="34"/>
      <c r="CX47" s="34"/>
      <c r="CY47" s="34"/>
      <c r="CZ47" s="31">
        <f>COUNTIFS(CP$3:CP$37, "=CEE")</f>
        <v>2</v>
      </c>
      <c r="DA47" s="34"/>
      <c r="DB47" s="29"/>
      <c r="DC47" s="29"/>
      <c r="DD47" s="29"/>
      <c r="DE47" s="33"/>
      <c r="DF47" s="33"/>
      <c r="DG47" s="34"/>
      <c r="DH47" s="34"/>
      <c r="DI47" s="34"/>
      <c r="DJ47" s="34"/>
      <c r="DK47" s="34"/>
      <c r="DL47" s="34"/>
      <c r="DM47" s="31">
        <f>COUNTIFS(DC$3:DC$38, "=CEE")</f>
        <v>0</v>
      </c>
      <c r="DN47" s="34"/>
      <c r="DO47" s="29"/>
      <c r="DP47" s="29"/>
      <c r="DQ47" s="29"/>
      <c r="DR47" s="33"/>
      <c r="DS47" s="33"/>
      <c r="DT47" s="34"/>
      <c r="DU47" s="34"/>
      <c r="DV47" s="34"/>
      <c r="DW47" s="34"/>
      <c r="DX47" s="34"/>
      <c r="DY47" s="34"/>
      <c r="DZ47" s="31">
        <f>COUNTIFS(DP$3:DP$38, "=CEE")</f>
        <v>1</v>
      </c>
      <c r="EA47" s="34"/>
      <c r="EB47" s="29"/>
      <c r="EC47" s="29"/>
      <c r="ED47" s="29"/>
      <c r="EE47" s="33"/>
      <c r="EF47" s="33"/>
      <c r="EG47" s="34"/>
      <c r="EH47" s="34"/>
      <c r="EI47" s="34"/>
      <c r="EJ47" s="34"/>
      <c r="EK47" s="34"/>
      <c r="EL47" s="34"/>
      <c r="EM47" s="31">
        <f>COUNTIFS(EC$3:EC$38, "=CEE")</f>
        <v>1</v>
      </c>
      <c r="EN47" s="34"/>
      <c r="EO47" s="29"/>
      <c r="EP47" s="29"/>
      <c r="EQ47" s="29"/>
      <c r="ER47" s="33"/>
      <c r="ES47" s="33"/>
      <c r="ET47" s="34"/>
      <c r="EU47" s="34"/>
      <c r="EV47" s="34"/>
      <c r="EW47" s="34"/>
      <c r="EX47" s="34"/>
      <c r="EY47" s="34"/>
      <c r="EZ47" s="31">
        <f>COUNTIFS(EP$3:EP$38, "=CEE")</f>
        <v>1</v>
      </c>
      <c r="FA47" s="34"/>
      <c r="FB47" s="36"/>
      <c r="FC47" s="52">
        <f>SUM(FC43:FC46)</f>
        <v>22</v>
      </c>
      <c r="FD47" s="52">
        <f t="shared" ref="FD47:FV47" si="1">SUM(FD43:FD46)</f>
        <v>21</v>
      </c>
      <c r="FE47" s="52">
        <f t="shared" si="1"/>
        <v>21</v>
      </c>
      <c r="FF47" s="52">
        <f t="shared" si="1"/>
        <v>21</v>
      </c>
      <c r="FG47" s="52">
        <f t="shared" si="1"/>
        <v>21</v>
      </c>
      <c r="FH47" s="52">
        <f t="shared" si="1"/>
        <v>17</v>
      </c>
      <c r="FI47" s="52">
        <f t="shared" si="1"/>
        <v>16</v>
      </c>
      <c r="FJ47" s="52">
        <f t="shared" si="1"/>
        <v>16</v>
      </c>
      <c r="FK47" s="52">
        <f t="shared" si="1"/>
        <v>16</v>
      </c>
      <c r="FL47" s="52">
        <f t="shared" si="1"/>
        <v>16</v>
      </c>
      <c r="FM47" s="52">
        <f t="shared" si="1"/>
        <v>30</v>
      </c>
      <c r="FN47" s="52">
        <f t="shared" si="1"/>
        <v>28</v>
      </c>
      <c r="FO47" s="52">
        <f t="shared" si="1"/>
        <v>28</v>
      </c>
      <c r="FP47" s="52">
        <f t="shared" si="1"/>
        <v>28</v>
      </c>
      <c r="FQ47" s="52">
        <f t="shared" si="1"/>
        <v>28</v>
      </c>
      <c r="FR47" s="52">
        <f t="shared" si="1"/>
        <v>18</v>
      </c>
      <c r="FS47" s="52">
        <f t="shared" si="1"/>
        <v>13</v>
      </c>
      <c r="FT47" s="52">
        <f t="shared" si="1"/>
        <v>16</v>
      </c>
      <c r="FU47" s="52">
        <f t="shared" si="1"/>
        <v>16</v>
      </c>
      <c r="FV47" s="52">
        <f t="shared" si="1"/>
        <v>16</v>
      </c>
      <c r="FW47" s="36"/>
      <c r="FX47" s="29">
        <f t="shared" ref="FX47:FX84" si="2">SUM(M47,Z47,AM47)</f>
        <v>3</v>
      </c>
      <c r="FY47" s="29">
        <f t="shared" ref="FY47:FY64" si="3">SUM(AZ47,BM47,BZ47)</f>
        <v>1</v>
      </c>
      <c r="FZ47" s="29">
        <f t="shared" ref="FZ47:FZ64" si="4">SUM(CM47,CZ47,DM47)</f>
        <v>3</v>
      </c>
      <c r="GA47" s="29">
        <f t="shared" ref="GA47:GA61" si="5">SUM(DZ47,EM47,EZ47)</f>
        <v>3</v>
      </c>
      <c r="GB47" s="36"/>
      <c r="GC47" s="41">
        <f t="shared" si="0"/>
        <v>10</v>
      </c>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row>
    <row r="48" spans="1:235">
      <c r="A48" s="42" t="s">
        <v>1586</v>
      </c>
      <c r="B48" s="28"/>
      <c r="C48" s="29"/>
      <c r="D48" s="29"/>
      <c r="E48" s="28"/>
      <c r="F48" s="28"/>
      <c r="G48" s="28"/>
      <c r="H48" s="28"/>
      <c r="I48" s="28"/>
      <c r="J48" s="28"/>
      <c r="K48" s="28"/>
      <c r="L48" s="28"/>
      <c r="M48" s="31">
        <f>COUNTIFS(C$3:C$38, "=CIC China")</f>
        <v>0</v>
      </c>
      <c r="N48" s="34"/>
      <c r="O48" s="29"/>
      <c r="P48" s="29"/>
      <c r="Q48" s="29"/>
      <c r="R48" s="33"/>
      <c r="S48" s="33"/>
      <c r="T48" s="34"/>
      <c r="U48" s="34"/>
      <c r="V48" s="34"/>
      <c r="W48" s="34"/>
      <c r="X48" s="34"/>
      <c r="Y48" s="34"/>
      <c r="Z48" s="31">
        <f>COUNTIFS(P$3:P$38, "=CIC China")</f>
        <v>0</v>
      </c>
      <c r="AA48" s="34"/>
      <c r="AB48" s="29"/>
      <c r="AC48" s="29"/>
      <c r="AD48" s="29"/>
      <c r="AE48" s="33"/>
      <c r="AF48" s="33"/>
      <c r="AG48" s="34"/>
      <c r="AH48" s="34"/>
      <c r="AI48" s="34"/>
      <c r="AJ48" s="34"/>
      <c r="AK48" s="34"/>
      <c r="AL48" s="34"/>
      <c r="AM48" s="31">
        <f>COUNTIFS(AC$3:AC$38, "=CIC China")</f>
        <v>0</v>
      </c>
      <c r="AN48" s="34"/>
      <c r="AO48" s="29"/>
      <c r="AP48" s="29"/>
      <c r="AQ48" s="29"/>
      <c r="AR48" s="33"/>
      <c r="AS48" s="33"/>
      <c r="AT48" s="34"/>
      <c r="AU48" s="34"/>
      <c r="AV48" s="34"/>
      <c r="AW48" s="34"/>
      <c r="AX48" s="34"/>
      <c r="AY48" s="34"/>
      <c r="AZ48" s="31">
        <f>COUNTIFS(AP$3:AP$38, "=CIC China")</f>
        <v>0</v>
      </c>
      <c r="BA48" s="34"/>
      <c r="BB48" s="29"/>
      <c r="BC48" s="29"/>
      <c r="BD48" s="29"/>
      <c r="BE48" s="33"/>
      <c r="BF48" s="33"/>
      <c r="BG48" s="34"/>
      <c r="BH48" s="34"/>
      <c r="BI48" s="34"/>
      <c r="BJ48" s="34"/>
      <c r="BK48" s="34"/>
      <c r="BL48" s="34"/>
      <c r="BM48" s="31">
        <f>COUNTIFS(BC$3:BC$38, "=CIC China")</f>
        <v>1</v>
      </c>
      <c r="BN48" s="34"/>
      <c r="BO48" s="29"/>
      <c r="BP48" s="29"/>
      <c r="BQ48" s="29"/>
      <c r="BR48" s="33"/>
      <c r="BS48" s="33"/>
      <c r="BT48" s="34"/>
      <c r="BU48" s="34"/>
      <c r="BV48" s="34"/>
      <c r="BW48" s="34"/>
      <c r="BX48" s="34"/>
      <c r="BY48" s="34"/>
      <c r="BZ48" s="31">
        <f>COUNTIFS(BP$3:BP$38, "=CIC China")</f>
        <v>0</v>
      </c>
      <c r="CA48" s="34"/>
      <c r="CB48" s="29"/>
      <c r="CC48" s="29"/>
      <c r="CD48" s="29"/>
      <c r="CE48" s="33"/>
      <c r="CF48" s="33"/>
      <c r="CG48" s="34"/>
      <c r="CH48" s="34"/>
      <c r="CI48" s="34"/>
      <c r="CJ48" s="34"/>
      <c r="CK48" s="34"/>
      <c r="CL48" s="34"/>
      <c r="CM48" s="31">
        <f>COUNTIFS(CC$3:CC$38, "=CIC China")</f>
        <v>1</v>
      </c>
      <c r="CN48" s="34"/>
      <c r="CO48" s="29"/>
      <c r="CP48" s="29"/>
      <c r="CQ48" s="29"/>
      <c r="CR48" s="33"/>
      <c r="CS48" s="33"/>
      <c r="CT48" s="34"/>
      <c r="CU48" s="34"/>
      <c r="CV48" s="34"/>
      <c r="CW48" s="34"/>
      <c r="CX48" s="34"/>
      <c r="CY48" s="34"/>
      <c r="CZ48" s="31">
        <f>COUNTIFS(CP$3:CP$37, "=CIC China")</f>
        <v>0</v>
      </c>
      <c r="DA48" s="34"/>
      <c r="DB48" s="29"/>
      <c r="DC48" s="29"/>
      <c r="DD48" s="29"/>
      <c r="DE48" s="33"/>
      <c r="DF48" s="33"/>
      <c r="DG48" s="34"/>
      <c r="DH48" s="34"/>
      <c r="DI48" s="34"/>
      <c r="DJ48" s="34"/>
      <c r="DK48" s="34"/>
      <c r="DL48" s="34"/>
      <c r="DM48" s="31">
        <f>COUNTIFS(DC$3:DC$38, "=CIC China")</f>
        <v>0</v>
      </c>
      <c r="DN48" s="34"/>
      <c r="DO48" s="29"/>
      <c r="DP48" s="29"/>
      <c r="DQ48" s="29"/>
      <c r="DR48" s="33"/>
      <c r="DS48" s="33"/>
      <c r="DT48" s="34"/>
      <c r="DU48" s="34"/>
      <c r="DV48" s="34"/>
      <c r="DW48" s="34"/>
      <c r="DX48" s="34"/>
      <c r="DY48" s="34"/>
      <c r="DZ48" s="31">
        <f>COUNTIFS(DP$3:DP$38, "=CIC China")</f>
        <v>1</v>
      </c>
      <c r="EA48" s="34"/>
      <c r="EB48" s="29"/>
      <c r="EC48" s="29"/>
      <c r="ED48" s="29"/>
      <c r="EE48" s="33"/>
      <c r="EF48" s="33"/>
      <c r="EG48" s="34"/>
      <c r="EH48" s="34"/>
      <c r="EI48" s="34"/>
      <c r="EJ48" s="34"/>
      <c r="EK48" s="34"/>
      <c r="EL48" s="34"/>
      <c r="EM48" s="31">
        <f>COUNTIFS(EC$3:EC$38, "=CIC China")</f>
        <v>0</v>
      </c>
      <c r="EN48" s="34"/>
      <c r="EO48" s="29"/>
      <c r="EP48" s="29"/>
      <c r="EQ48" s="29"/>
      <c r="ER48" s="33"/>
      <c r="ES48" s="33"/>
      <c r="ET48" s="34"/>
      <c r="EU48" s="34"/>
      <c r="EV48" s="34"/>
      <c r="EW48" s="34"/>
      <c r="EX48" s="34"/>
      <c r="EY48" s="34"/>
      <c r="EZ48" s="31">
        <f>COUNTIFS(EP$3:EP$38, "=CIC China")</f>
        <v>0</v>
      </c>
      <c r="FA48" s="34"/>
      <c r="FB48" s="36"/>
      <c r="FC48" s="48"/>
      <c r="FD48" s="48"/>
      <c r="FE48" s="48"/>
      <c r="FF48" s="48"/>
      <c r="FG48" s="48"/>
      <c r="FH48" s="48"/>
      <c r="FI48" s="48"/>
      <c r="FJ48" s="48"/>
      <c r="FK48" s="48"/>
      <c r="FL48" s="48"/>
      <c r="FM48" s="48"/>
      <c r="FN48" s="48"/>
      <c r="FO48" s="48"/>
      <c r="FP48" s="48"/>
      <c r="FQ48" s="48"/>
      <c r="FR48" s="48"/>
      <c r="FS48" s="48"/>
      <c r="FT48" s="48"/>
      <c r="FU48" s="48"/>
      <c r="FV48" s="48"/>
      <c r="FW48" s="36"/>
      <c r="FX48" s="29">
        <f t="shared" si="2"/>
        <v>0</v>
      </c>
      <c r="FY48" s="29">
        <f t="shared" si="3"/>
        <v>1</v>
      </c>
      <c r="FZ48" s="29">
        <f t="shared" si="4"/>
        <v>1</v>
      </c>
      <c r="GA48" s="29">
        <f t="shared" si="5"/>
        <v>1</v>
      </c>
      <c r="GB48" s="36"/>
      <c r="GC48" s="41">
        <f t="shared" si="0"/>
        <v>3</v>
      </c>
      <c r="GD48" s="36"/>
      <c r="GE48" s="36"/>
      <c r="GF48" s="36"/>
      <c r="GG48" s="36"/>
      <c r="GH48" s="36"/>
      <c r="GI48" s="36"/>
      <c r="GJ48" s="36"/>
      <c r="GK48" s="36"/>
      <c r="GL48" s="36"/>
      <c r="GM48" s="36"/>
      <c r="GN48" s="36"/>
      <c r="GO48" s="36"/>
      <c r="GP48" s="36"/>
      <c r="GQ48" s="36"/>
      <c r="GR48" s="36"/>
      <c r="GS48" s="36"/>
      <c r="GT48" s="36"/>
      <c r="GU48" s="36"/>
      <c r="GV48" s="36"/>
      <c r="GW48" s="36"/>
      <c r="GX48" s="36"/>
      <c r="GY48" s="36"/>
      <c r="GZ48" s="36"/>
      <c r="HA48" s="36"/>
      <c r="HB48" s="36"/>
      <c r="HC48" s="36"/>
      <c r="HD48" s="36"/>
      <c r="HE48" s="36"/>
      <c r="HF48" s="36"/>
      <c r="HG48" s="36"/>
      <c r="HH48" s="36"/>
      <c r="HI48" s="36"/>
      <c r="HJ48" s="36"/>
      <c r="HK48" s="36"/>
      <c r="HL48" s="36"/>
      <c r="HM48" s="36"/>
      <c r="HN48" s="36"/>
      <c r="HO48" s="36"/>
      <c r="HP48" s="36"/>
      <c r="HQ48" s="36"/>
      <c r="HR48" s="36"/>
      <c r="HS48" s="36"/>
      <c r="HT48" s="36"/>
      <c r="HU48" s="36"/>
      <c r="HV48" s="36"/>
      <c r="HW48" s="36"/>
      <c r="HX48" s="36"/>
      <c r="HY48" s="36"/>
      <c r="HZ48" s="36"/>
      <c r="IA48" s="36"/>
    </row>
    <row r="49" spans="1:235">
      <c r="A49" s="42" t="s">
        <v>1587</v>
      </c>
      <c r="B49" s="28"/>
      <c r="C49" s="29"/>
      <c r="D49" s="29"/>
      <c r="E49" s="28"/>
      <c r="F49" s="28"/>
      <c r="G49" s="28"/>
      <c r="H49" s="28"/>
      <c r="I49" s="28"/>
      <c r="J49" s="28"/>
      <c r="K49" s="28"/>
      <c r="L49" s="28"/>
      <c r="M49" s="31">
        <f>COUNTIFS(C$3:C$38, "=India")</f>
        <v>3</v>
      </c>
      <c r="N49" s="34"/>
      <c r="O49" s="29"/>
      <c r="P49" s="29"/>
      <c r="Q49" s="29"/>
      <c r="R49" s="33"/>
      <c r="S49" s="33"/>
      <c r="T49" s="34"/>
      <c r="U49" s="34"/>
      <c r="V49" s="34"/>
      <c r="W49" s="34"/>
      <c r="X49" s="34"/>
      <c r="Y49" s="34"/>
      <c r="Z49" s="31">
        <f>COUNTIFS(P$3:P$38, "=India")</f>
        <v>3</v>
      </c>
      <c r="AA49" s="34"/>
      <c r="AB49" s="29"/>
      <c r="AC49" s="29"/>
      <c r="AD49" s="29"/>
      <c r="AE49" s="33"/>
      <c r="AF49" s="33"/>
      <c r="AG49" s="34"/>
      <c r="AH49" s="34"/>
      <c r="AI49" s="34"/>
      <c r="AJ49" s="34"/>
      <c r="AK49" s="34"/>
      <c r="AL49" s="34"/>
      <c r="AM49" s="31">
        <f>COUNTIFS(AC$3:AC$38, "=India")</f>
        <v>1</v>
      </c>
      <c r="AN49" s="34"/>
      <c r="AO49" s="29"/>
      <c r="AP49" s="29"/>
      <c r="AQ49" s="29"/>
      <c r="AR49" s="33"/>
      <c r="AS49" s="33"/>
      <c r="AT49" s="34"/>
      <c r="AU49" s="34"/>
      <c r="AV49" s="34"/>
      <c r="AW49" s="34"/>
      <c r="AX49" s="34"/>
      <c r="AY49" s="34"/>
      <c r="AZ49" s="31">
        <f>COUNTIFS(AP$3:AP$38, "=India")</f>
        <v>1</v>
      </c>
      <c r="BA49" s="34"/>
      <c r="BB49" s="29"/>
      <c r="BC49" s="29"/>
      <c r="BD49" s="29"/>
      <c r="BE49" s="33"/>
      <c r="BF49" s="33"/>
      <c r="BG49" s="34"/>
      <c r="BH49" s="34"/>
      <c r="BI49" s="34"/>
      <c r="BJ49" s="34"/>
      <c r="BK49" s="34"/>
      <c r="BL49" s="34"/>
      <c r="BM49" s="31">
        <f>COUNTIFS(BC$3:BC$38, "=India")</f>
        <v>0</v>
      </c>
      <c r="BN49" s="34"/>
      <c r="BO49" s="29"/>
      <c r="BP49" s="29"/>
      <c r="BQ49" s="29"/>
      <c r="BR49" s="33"/>
      <c r="BS49" s="33"/>
      <c r="BT49" s="34"/>
      <c r="BU49" s="34"/>
      <c r="BV49" s="34"/>
      <c r="BW49" s="34"/>
      <c r="BX49" s="34"/>
      <c r="BY49" s="34"/>
      <c r="BZ49" s="31">
        <f>COUNTIFS(BP$3:BP$38, "=India")</f>
        <v>0</v>
      </c>
      <c r="CA49" s="34"/>
      <c r="CB49" s="29"/>
      <c r="CC49" s="29"/>
      <c r="CD49" s="29"/>
      <c r="CE49" s="33"/>
      <c r="CF49" s="33"/>
      <c r="CG49" s="34"/>
      <c r="CH49" s="34"/>
      <c r="CI49" s="34"/>
      <c r="CJ49" s="34"/>
      <c r="CK49" s="34"/>
      <c r="CL49" s="34"/>
      <c r="CM49" s="31">
        <f>COUNTIFS(CC$3:CC$38, "=India")</f>
        <v>0</v>
      </c>
      <c r="CN49" s="34"/>
      <c r="CO49" s="29"/>
      <c r="CP49" s="29"/>
      <c r="CQ49" s="29"/>
      <c r="CR49" s="33"/>
      <c r="CS49" s="33"/>
      <c r="CT49" s="34"/>
      <c r="CU49" s="34"/>
      <c r="CV49" s="34"/>
      <c r="CW49" s="34"/>
      <c r="CX49" s="34"/>
      <c r="CY49" s="34"/>
      <c r="CZ49" s="31">
        <f>COUNTIFS(CP$3:CP$37, "=India")</f>
        <v>3</v>
      </c>
      <c r="DA49" s="34"/>
      <c r="DB49" s="29"/>
      <c r="DC49" s="29"/>
      <c r="DD49" s="29"/>
      <c r="DE49" s="33"/>
      <c r="DF49" s="33"/>
      <c r="DG49" s="34"/>
      <c r="DH49" s="34"/>
      <c r="DI49" s="34"/>
      <c r="DJ49" s="34"/>
      <c r="DK49" s="34"/>
      <c r="DL49" s="34"/>
      <c r="DM49" s="31">
        <f>COUNTIFS(DC$3:DC$38, "=India")</f>
        <v>3</v>
      </c>
      <c r="DN49" s="34"/>
      <c r="DO49" s="29"/>
      <c r="DP49" s="29"/>
      <c r="DQ49" s="29"/>
      <c r="DR49" s="33"/>
      <c r="DS49" s="33"/>
      <c r="DT49" s="34"/>
      <c r="DU49" s="34"/>
      <c r="DV49" s="34"/>
      <c r="DW49" s="34"/>
      <c r="DX49" s="34"/>
      <c r="DY49" s="34"/>
      <c r="DZ49" s="31">
        <f>COUNTIFS(DP$3:DP$38, "=India")</f>
        <v>3</v>
      </c>
      <c r="EA49" s="34"/>
      <c r="EB49" s="29"/>
      <c r="EC49" s="29"/>
      <c r="ED49" s="29"/>
      <c r="EE49" s="33"/>
      <c r="EF49" s="33"/>
      <c r="EG49" s="34"/>
      <c r="EH49" s="34"/>
      <c r="EI49" s="34"/>
      <c r="EJ49" s="34"/>
      <c r="EK49" s="34"/>
      <c r="EL49" s="34"/>
      <c r="EM49" s="31">
        <f>COUNTIFS(EC$3:EC$38, "=India")</f>
        <v>1</v>
      </c>
      <c r="EN49" s="34"/>
      <c r="EO49" s="29"/>
      <c r="EP49" s="29"/>
      <c r="EQ49" s="29"/>
      <c r="ER49" s="33"/>
      <c r="ES49" s="33"/>
      <c r="ET49" s="34"/>
      <c r="EU49" s="34"/>
      <c r="EV49" s="34"/>
      <c r="EW49" s="34"/>
      <c r="EX49" s="34"/>
      <c r="EY49" s="34"/>
      <c r="EZ49" s="31">
        <f>COUNTIFS(EP$3:EP$38, "=India")</f>
        <v>0</v>
      </c>
      <c r="FA49" s="34"/>
      <c r="FB49" s="36"/>
      <c r="FC49" s="48"/>
      <c r="FD49" s="48"/>
      <c r="FE49" s="48"/>
      <c r="FF49" s="48"/>
      <c r="FG49" s="48"/>
      <c r="FH49" s="48"/>
      <c r="FI49" s="48"/>
      <c r="FJ49" s="48"/>
      <c r="FK49" s="48"/>
      <c r="FL49" s="48"/>
      <c r="FM49" s="48"/>
      <c r="FN49" s="48"/>
      <c r="FO49" s="48"/>
      <c r="FP49" s="48"/>
      <c r="FQ49" s="48"/>
      <c r="FR49" s="48"/>
      <c r="FS49" s="48"/>
      <c r="FT49" s="48"/>
      <c r="FU49" s="48"/>
      <c r="FV49" s="48"/>
      <c r="FW49" s="36"/>
      <c r="FX49" s="29">
        <f t="shared" si="2"/>
        <v>7</v>
      </c>
      <c r="FY49" s="29">
        <f t="shared" si="3"/>
        <v>1</v>
      </c>
      <c r="FZ49" s="29">
        <f t="shared" si="4"/>
        <v>6</v>
      </c>
      <c r="GA49" s="29">
        <f t="shared" si="5"/>
        <v>4</v>
      </c>
      <c r="GB49" s="36"/>
      <c r="GC49" s="41">
        <f t="shared" si="0"/>
        <v>18</v>
      </c>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c r="HX49" s="36"/>
      <c r="HY49" s="36"/>
      <c r="HZ49" s="36"/>
      <c r="IA49" s="36"/>
    </row>
    <row r="50" spans="1:235">
      <c r="A50" s="42" t="s">
        <v>1588</v>
      </c>
      <c r="B50" s="28"/>
      <c r="C50" s="29"/>
      <c r="D50" s="29"/>
      <c r="E50" s="28"/>
      <c r="F50" s="28"/>
      <c r="G50" s="28"/>
      <c r="H50" s="28"/>
      <c r="I50" s="28"/>
      <c r="J50" s="28"/>
      <c r="K50" s="28"/>
      <c r="L50" s="28"/>
      <c r="M50" s="31">
        <f>COUNTIFS(C$3:C$38, "=LA")</f>
        <v>0</v>
      </c>
      <c r="N50" s="34"/>
      <c r="O50" s="29"/>
      <c r="P50" s="29"/>
      <c r="Q50" s="29"/>
      <c r="R50" s="33"/>
      <c r="S50" s="33"/>
      <c r="T50" s="34"/>
      <c r="U50" s="34"/>
      <c r="V50" s="34"/>
      <c r="W50" s="34"/>
      <c r="X50" s="34"/>
      <c r="Y50" s="34"/>
      <c r="Z50" s="31">
        <f>COUNTIFS(P$3:P$38, "=LA")</f>
        <v>0</v>
      </c>
      <c r="AA50" s="34"/>
      <c r="AB50" s="29"/>
      <c r="AC50" s="29"/>
      <c r="AD50" s="29"/>
      <c r="AE50" s="33"/>
      <c r="AF50" s="33"/>
      <c r="AG50" s="34"/>
      <c r="AH50" s="34"/>
      <c r="AI50" s="34"/>
      <c r="AJ50" s="34"/>
      <c r="AK50" s="34"/>
      <c r="AL50" s="34"/>
      <c r="AM50" s="31">
        <f>COUNTIFS(AC$3:AC$38, "=LA")</f>
        <v>0</v>
      </c>
      <c r="AN50" s="34"/>
      <c r="AO50" s="29"/>
      <c r="AP50" s="29"/>
      <c r="AQ50" s="29"/>
      <c r="AR50" s="33"/>
      <c r="AS50" s="33"/>
      <c r="AT50" s="34"/>
      <c r="AU50" s="34"/>
      <c r="AV50" s="34"/>
      <c r="AW50" s="34"/>
      <c r="AX50" s="34"/>
      <c r="AY50" s="34"/>
      <c r="AZ50" s="31">
        <f>COUNTIFS(AP$3:AP$38, "=LA")</f>
        <v>0</v>
      </c>
      <c r="BA50" s="34"/>
      <c r="BB50" s="29"/>
      <c r="BC50" s="29"/>
      <c r="BD50" s="29"/>
      <c r="BE50" s="33"/>
      <c r="BF50" s="33"/>
      <c r="BG50" s="34"/>
      <c r="BH50" s="34"/>
      <c r="BI50" s="34"/>
      <c r="BJ50" s="34"/>
      <c r="BK50" s="34"/>
      <c r="BL50" s="34"/>
      <c r="BM50" s="31">
        <f>COUNTIFS(BC$3:BC$38, "=LA")</f>
        <v>3</v>
      </c>
      <c r="BN50" s="34"/>
      <c r="BO50" s="29"/>
      <c r="BP50" s="29"/>
      <c r="BQ50" s="29"/>
      <c r="BR50" s="33"/>
      <c r="BS50" s="33"/>
      <c r="BT50" s="34"/>
      <c r="BU50" s="34"/>
      <c r="BV50" s="34"/>
      <c r="BW50" s="34"/>
      <c r="BX50" s="34"/>
      <c r="BY50" s="34"/>
      <c r="BZ50" s="31">
        <f>COUNTIFS(BP$3:BP$38, "=LA")</f>
        <v>2</v>
      </c>
      <c r="CA50" s="34"/>
      <c r="CB50" s="29"/>
      <c r="CC50" s="29"/>
      <c r="CD50" s="29"/>
      <c r="CE50" s="33"/>
      <c r="CF50" s="33"/>
      <c r="CG50" s="34"/>
      <c r="CH50" s="34"/>
      <c r="CI50" s="34"/>
      <c r="CJ50" s="34"/>
      <c r="CK50" s="34"/>
      <c r="CL50" s="34"/>
      <c r="CM50" s="31">
        <f>COUNTIFS(CC$3:CC$38, "=LA")</f>
        <v>3</v>
      </c>
      <c r="CN50" s="34"/>
      <c r="CO50" s="29"/>
      <c r="CP50" s="29"/>
      <c r="CQ50" s="29"/>
      <c r="CR50" s="33"/>
      <c r="CS50" s="33"/>
      <c r="CT50" s="34"/>
      <c r="CU50" s="34"/>
      <c r="CV50" s="34"/>
      <c r="CW50" s="34"/>
      <c r="CX50" s="34"/>
      <c r="CY50" s="34"/>
      <c r="CZ50" s="31">
        <f>COUNTIFS(CP$3:CP$37, "=LA")</f>
        <v>3</v>
      </c>
      <c r="DA50" s="34"/>
      <c r="DB50" s="29"/>
      <c r="DC50" s="29"/>
      <c r="DD50" s="29"/>
      <c r="DE50" s="33"/>
      <c r="DF50" s="33"/>
      <c r="DG50" s="34"/>
      <c r="DH50" s="34"/>
      <c r="DI50" s="34"/>
      <c r="DJ50" s="34"/>
      <c r="DK50" s="34"/>
      <c r="DL50" s="34"/>
      <c r="DM50" s="31">
        <f>COUNTIFS(DC$3:DC$38, "=LA")</f>
        <v>3</v>
      </c>
      <c r="DN50" s="34"/>
      <c r="DO50" s="29"/>
      <c r="DP50" s="29"/>
      <c r="DQ50" s="29"/>
      <c r="DR50" s="33"/>
      <c r="DS50" s="33"/>
      <c r="DT50" s="34"/>
      <c r="DU50" s="34"/>
      <c r="DV50" s="34"/>
      <c r="DW50" s="34"/>
      <c r="DX50" s="34"/>
      <c r="DY50" s="34"/>
      <c r="DZ50" s="31">
        <f>COUNTIFS(DP$3:DP$38, "=LA")</f>
        <v>3</v>
      </c>
      <c r="EA50" s="34"/>
      <c r="EB50" s="29"/>
      <c r="EC50" s="29"/>
      <c r="ED50" s="29"/>
      <c r="EE50" s="33"/>
      <c r="EF50" s="33"/>
      <c r="EG50" s="34"/>
      <c r="EH50" s="34"/>
      <c r="EI50" s="34"/>
      <c r="EJ50" s="34"/>
      <c r="EK50" s="34"/>
      <c r="EL50" s="34"/>
      <c r="EM50" s="31">
        <f>COUNTIFS(EC$3:EC$38, "=LA")</f>
        <v>3</v>
      </c>
      <c r="EN50" s="34"/>
      <c r="EO50" s="29"/>
      <c r="EP50" s="29"/>
      <c r="EQ50" s="29"/>
      <c r="ER50" s="33"/>
      <c r="ES50" s="33"/>
      <c r="ET50" s="34"/>
      <c r="EU50" s="34"/>
      <c r="EV50" s="34"/>
      <c r="EW50" s="34"/>
      <c r="EX50" s="34"/>
      <c r="EY50" s="34"/>
      <c r="EZ50" s="31">
        <f>COUNTIFS(EP$3:EP$38, "=LA")</f>
        <v>2</v>
      </c>
      <c r="FA50" s="34"/>
      <c r="FB50" s="36"/>
      <c r="FC50" s="48"/>
      <c r="FD50" s="48"/>
      <c r="FE50" s="48"/>
      <c r="FF50" s="48"/>
      <c r="FG50" s="48"/>
      <c r="FH50" s="48"/>
      <c r="FI50" s="48"/>
      <c r="FJ50" s="48"/>
      <c r="FK50" s="48"/>
      <c r="FL50" s="48"/>
      <c r="FM50" s="48"/>
      <c r="FN50" s="48"/>
      <c r="FO50" s="48"/>
      <c r="FP50" s="48"/>
      <c r="FQ50" s="48"/>
      <c r="FR50" s="48"/>
      <c r="FS50" s="48"/>
      <c r="FT50" s="48"/>
      <c r="FU50" s="48"/>
      <c r="FV50" s="48"/>
      <c r="FW50" s="36"/>
      <c r="FX50" s="29">
        <f t="shared" si="2"/>
        <v>0</v>
      </c>
      <c r="FY50" s="29">
        <f t="shared" si="3"/>
        <v>5</v>
      </c>
      <c r="FZ50" s="29">
        <f t="shared" si="4"/>
        <v>9</v>
      </c>
      <c r="GA50" s="29">
        <f t="shared" si="5"/>
        <v>8</v>
      </c>
      <c r="GB50" s="36"/>
      <c r="GC50" s="41">
        <f t="shared" si="0"/>
        <v>22</v>
      </c>
      <c r="GD50" s="36"/>
      <c r="GE50" s="36"/>
      <c r="GF50" s="36"/>
      <c r="GG50" s="36"/>
      <c r="GH50" s="36"/>
      <c r="GI50" s="36"/>
      <c r="GJ50" s="36"/>
      <c r="GK50" s="36"/>
      <c r="GL50" s="36"/>
      <c r="GM50" s="36"/>
      <c r="GN50" s="36"/>
      <c r="GO50" s="36"/>
      <c r="GP50" s="36"/>
      <c r="GQ50" s="36"/>
      <c r="GR50" s="36"/>
      <c r="GS50" s="36"/>
      <c r="GT50" s="36"/>
      <c r="GU50" s="36"/>
      <c r="GV50" s="36"/>
      <c r="GW50" s="36"/>
      <c r="GX50" s="36"/>
      <c r="GY50" s="36"/>
      <c r="GZ50" s="36"/>
      <c r="HA50" s="36"/>
      <c r="HB50" s="36"/>
      <c r="HC50" s="36"/>
      <c r="HD50" s="36"/>
      <c r="HE50" s="36"/>
      <c r="HF50" s="36"/>
      <c r="HG50" s="36"/>
      <c r="HH50" s="36"/>
      <c r="HI50" s="36"/>
      <c r="HJ50" s="36"/>
      <c r="HK50" s="36"/>
      <c r="HL50" s="36"/>
      <c r="HM50" s="36"/>
      <c r="HN50" s="36"/>
      <c r="HO50" s="36"/>
      <c r="HP50" s="36"/>
      <c r="HQ50" s="36"/>
      <c r="HR50" s="36"/>
      <c r="HS50" s="36"/>
      <c r="HT50" s="36"/>
      <c r="HU50" s="36"/>
      <c r="HV50" s="36"/>
      <c r="HW50" s="36"/>
      <c r="HX50" s="36"/>
      <c r="HY50" s="36"/>
      <c r="HZ50" s="36"/>
      <c r="IA50" s="36"/>
    </row>
    <row r="51" spans="1:235">
      <c r="A51" s="42" t="s">
        <v>1589</v>
      </c>
      <c r="B51" s="28"/>
      <c r="C51" s="29"/>
      <c r="D51" s="29"/>
      <c r="E51" s="28"/>
      <c r="F51" s="28"/>
      <c r="G51" s="28"/>
      <c r="H51" s="28"/>
      <c r="I51" s="28"/>
      <c r="J51" s="28"/>
      <c r="K51" s="28"/>
      <c r="L51" s="28"/>
      <c r="M51" s="31">
        <f>COUNTIFS(C$3:C$38, "=CIC MEA")</f>
        <v>0</v>
      </c>
      <c r="N51" s="34"/>
      <c r="O51" s="29"/>
      <c r="P51" s="29"/>
      <c r="Q51" s="29"/>
      <c r="R51" s="33"/>
      <c r="S51" s="33"/>
      <c r="T51" s="34"/>
      <c r="U51" s="34"/>
      <c r="V51" s="34"/>
      <c r="W51" s="34"/>
      <c r="X51" s="34"/>
      <c r="Y51" s="34"/>
      <c r="Z51" s="31">
        <f>COUNTIFS(P$3:P$38, "=CIC MEA")</f>
        <v>0</v>
      </c>
      <c r="AA51" s="34"/>
      <c r="AB51" s="29"/>
      <c r="AC51" s="29"/>
      <c r="AD51" s="29"/>
      <c r="AE51" s="33"/>
      <c r="AF51" s="33"/>
      <c r="AG51" s="34"/>
      <c r="AH51" s="34"/>
      <c r="AI51" s="34"/>
      <c r="AJ51" s="34"/>
      <c r="AK51" s="34"/>
      <c r="AL51" s="34"/>
      <c r="AM51" s="31">
        <f>COUNTIFS(AC$3:AC$38, "=CIC MEA")</f>
        <v>0</v>
      </c>
      <c r="AN51" s="34"/>
      <c r="AO51" s="29"/>
      <c r="AP51" s="29"/>
      <c r="AQ51" s="29"/>
      <c r="AR51" s="33"/>
      <c r="AS51" s="33"/>
      <c r="AT51" s="34"/>
      <c r="AU51" s="34"/>
      <c r="AV51" s="34"/>
      <c r="AW51" s="34"/>
      <c r="AX51" s="34"/>
      <c r="AY51" s="34"/>
      <c r="AZ51" s="31">
        <f>COUNTIFS(AP$3:AP$38, "=CIC MEA")</f>
        <v>0</v>
      </c>
      <c r="BA51" s="34"/>
      <c r="BB51" s="29"/>
      <c r="BC51" s="29"/>
      <c r="BD51" s="29"/>
      <c r="BE51" s="33"/>
      <c r="BF51" s="33"/>
      <c r="BG51" s="34"/>
      <c r="BH51" s="34"/>
      <c r="BI51" s="34"/>
      <c r="BJ51" s="34"/>
      <c r="BK51" s="34"/>
      <c r="BL51" s="34"/>
      <c r="BM51" s="31">
        <f>COUNTIFS(BC$3:BC$38, "=CIC MEA")</f>
        <v>0</v>
      </c>
      <c r="BN51" s="34"/>
      <c r="BO51" s="29"/>
      <c r="BP51" s="29"/>
      <c r="BQ51" s="29"/>
      <c r="BR51" s="33"/>
      <c r="BS51" s="33"/>
      <c r="BT51" s="34"/>
      <c r="BU51" s="34"/>
      <c r="BV51" s="34"/>
      <c r="BW51" s="34"/>
      <c r="BX51" s="34"/>
      <c r="BY51" s="34"/>
      <c r="BZ51" s="31">
        <f>COUNTIFS(BP$3:BP$38, "=CIC MEA")</f>
        <v>0</v>
      </c>
      <c r="CA51" s="34"/>
      <c r="CB51" s="29"/>
      <c r="CC51" s="29"/>
      <c r="CD51" s="29"/>
      <c r="CE51" s="33"/>
      <c r="CF51" s="33"/>
      <c r="CG51" s="34"/>
      <c r="CH51" s="34"/>
      <c r="CI51" s="34"/>
      <c r="CJ51" s="34"/>
      <c r="CK51" s="34"/>
      <c r="CL51" s="34"/>
      <c r="CM51" s="31">
        <f>COUNTIFS(CC$3:CC$38, "=CIC MEA")</f>
        <v>0</v>
      </c>
      <c r="CN51" s="34"/>
      <c r="CO51" s="29"/>
      <c r="CP51" s="29"/>
      <c r="CQ51" s="29"/>
      <c r="CR51" s="33"/>
      <c r="CS51" s="33"/>
      <c r="CT51" s="34"/>
      <c r="CU51" s="34"/>
      <c r="CV51" s="34"/>
      <c r="CW51" s="34"/>
      <c r="CX51" s="34"/>
      <c r="CY51" s="34"/>
      <c r="CZ51" s="31">
        <f>COUNTIFS(CP$3:CP$37, "=CIC MEA")</f>
        <v>0</v>
      </c>
      <c r="DA51" s="34"/>
      <c r="DB51" s="29"/>
      <c r="DC51" s="29"/>
      <c r="DD51" s="29"/>
      <c r="DE51" s="33"/>
      <c r="DF51" s="33"/>
      <c r="DG51" s="34"/>
      <c r="DH51" s="34"/>
      <c r="DI51" s="34"/>
      <c r="DJ51" s="34"/>
      <c r="DK51" s="34"/>
      <c r="DL51" s="34"/>
      <c r="DM51" s="31">
        <f>COUNTIFS(DC$3:DC$38, "=CIC MEA")</f>
        <v>3</v>
      </c>
      <c r="DN51" s="34"/>
      <c r="DO51" s="29"/>
      <c r="DP51" s="29"/>
      <c r="DQ51" s="29"/>
      <c r="DR51" s="33"/>
      <c r="DS51" s="33"/>
      <c r="DT51" s="34"/>
      <c r="DU51" s="34"/>
      <c r="DV51" s="34"/>
      <c r="DW51" s="34"/>
      <c r="DX51" s="34"/>
      <c r="DY51" s="34"/>
      <c r="DZ51" s="31">
        <f>COUNTIFS(DP$3:DP$38, "=CIC MEA")</f>
        <v>0</v>
      </c>
      <c r="EA51" s="34"/>
      <c r="EB51" s="29"/>
      <c r="EC51" s="29"/>
      <c r="ED51" s="29"/>
      <c r="EE51" s="33"/>
      <c r="EF51" s="33"/>
      <c r="EG51" s="34"/>
      <c r="EH51" s="34"/>
      <c r="EI51" s="34"/>
      <c r="EJ51" s="34"/>
      <c r="EK51" s="34"/>
      <c r="EL51" s="34"/>
      <c r="EM51" s="31">
        <f>COUNTIFS(EC$3:EC$38, "=CIC MEA")</f>
        <v>1</v>
      </c>
      <c r="EN51" s="34"/>
      <c r="EO51" s="29"/>
      <c r="EP51" s="29"/>
      <c r="EQ51" s="29"/>
      <c r="ER51" s="33"/>
      <c r="ES51" s="33"/>
      <c r="ET51" s="34"/>
      <c r="EU51" s="34"/>
      <c r="EV51" s="34"/>
      <c r="EW51" s="34"/>
      <c r="EX51" s="34"/>
      <c r="EY51" s="34"/>
      <c r="EZ51" s="31">
        <f>COUNTIFS(EP$3:EP$38, "=CIC MEA")</f>
        <v>1</v>
      </c>
      <c r="FA51" s="34"/>
      <c r="FB51" s="36"/>
      <c r="FC51" s="48"/>
      <c r="FD51" s="48"/>
      <c r="FE51" s="48"/>
      <c r="FF51" s="48"/>
      <c r="FG51" s="48"/>
      <c r="FH51" s="48"/>
      <c r="FI51" s="48"/>
      <c r="FJ51" s="48"/>
      <c r="FK51" s="48"/>
      <c r="FL51" s="48"/>
      <c r="FM51" s="48"/>
      <c r="FN51" s="48"/>
      <c r="FO51" s="48"/>
      <c r="FP51" s="48"/>
      <c r="FQ51" s="48"/>
      <c r="FR51" s="48"/>
      <c r="FS51" s="48"/>
      <c r="FT51" s="48"/>
      <c r="FU51" s="48"/>
      <c r="FV51" s="48"/>
      <c r="FW51" s="36"/>
      <c r="FX51" s="29">
        <f t="shared" si="2"/>
        <v>0</v>
      </c>
      <c r="FY51" s="29">
        <f t="shared" si="3"/>
        <v>0</v>
      </c>
      <c r="FZ51" s="29">
        <f t="shared" si="4"/>
        <v>3</v>
      </c>
      <c r="GA51" s="29">
        <f t="shared" si="5"/>
        <v>2</v>
      </c>
      <c r="GB51" s="36"/>
      <c r="GC51" s="41">
        <f t="shared" si="0"/>
        <v>5</v>
      </c>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6"/>
      <c r="HC51" s="36"/>
      <c r="HD51" s="36"/>
      <c r="HE51" s="36"/>
      <c r="HF51" s="36"/>
      <c r="HG51" s="36"/>
      <c r="HH51" s="36"/>
      <c r="HI51" s="36"/>
      <c r="HJ51" s="36"/>
      <c r="HK51" s="36"/>
      <c r="HL51" s="36"/>
      <c r="HM51" s="36"/>
      <c r="HN51" s="36"/>
      <c r="HO51" s="36"/>
      <c r="HP51" s="36"/>
      <c r="HQ51" s="36"/>
      <c r="HR51" s="36"/>
      <c r="HS51" s="36"/>
      <c r="HT51" s="36"/>
      <c r="HU51" s="36"/>
      <c r="HV51" s="36"/>
      <c r="HW51" s="36"/>
      <c r="HX51" s="36"/>
      <c r="HY51" s="36"/>
      <c r="HZ51" s="36"/>
      <c r="IA51" s="36"/>
    </row>
    <row r="52" spans="1:235">
      <c r="A52" s="42" t="s">
        <v>1590</v>
      </c>
      <c r="B52" s="28"/>
      <c r="C52" s="29"/>
      <c r="D52" s="29"/>
      <c r="E52" s="28"/>
      <c r="F52" s="28"/>
      <c r="G52" s="28"/>
      <c r="H52" s="28"/>
      <c r="I52" s="28"/>
      <c r="J52" s="28"/>
      <c r="K52" s="28"/>
      <c r="L52" s="28"/>
      <c r="M52" s="31">
        <f>COUNTIFS(C$3:C$38, "=CIC NA")</f>
        <v>3</v>
      </c>
      <c r="N52" s="34"/>
      <c r="O52" s="29"/>
      <c r="P52" s="29"/>
      <c r="Q52" s="29"/>
      <c r="R52" s="33"/>
      <c r="S52" s="33"/>
      <c r="T52" s="34"/>
      <c r="U52" s="34"/>
      <c r="V52" s="34"/>
      <c r="W52" s="34"/>
      <c r="X52" s="34"/>
      <c r="Y52" s="34"/>
      <c r="Z52" s="31">
        <f>COUNTIFS(P$3:P$38, "=CIC NA")</f>
        <v>6</v>
      </c>
      <c r="AA52" s="34"/>
      <c r="AB52" s="29"/>
      <c r="AC52" s="29"/>
      <c r="AD52" s="29"/>
      <c r="AE52" s="33"/>
      <c r="AF52" s="33"/>
      <c r="AG52" s="34"/>
      <c r="AH52" s="34"/>
      <c r="AI52" s="34"/>
      <c r="AJ52" s="34"/>
      <c r="AK52" s="34"/>
      <c r="AL52" s="34"/>
      <c r="AM52" s="31">
        <f>COUNTIFS(AC$3:AC$38, "=CIC NA")</f>
        <v>0</v>
      </c>
      <c r="AN52" s="34"/>
      <c r="AO52" s="29"/>
      <c r="AP52" s="29"/>
      <c r="AQ52" s="29"/>
      <c r="AR52" s="33"/>
      <c r="AS52" s="33"/>
      <c r="AT52" s="34"/>
      <c r="AU52" s="34"/>
      <c r="AV52" s="34"/>
      <c r="AW52" s="34"/>
      <c r="AX52" s="34"/>
      <c r="AY52" s="34"/>
      <c r="AZ52" s="31">
        <f>COUNTIFS(AP$3:AP$38, "=CIC NA")</f>
        <v>1</v>
      </c>
      <c r="BA52" s="34"/>
      <c r="BB52" s="29"/>
      <c r="BC52" s="29"/>
      <c r="BD52" s="29"/>
      <c r="BE52" s="33"/>
      <c r="BF52" s="33"/>
      <c r="BG52" s="34"/>
      <c r="BH52" s="34"/>
      <c r="BI52" s="34"/>
      <c r="BJ52" s="34"/>
      <c r="BK52" s="34"/>
      <c r="BL52" s="34"/>
      <c r="BM52" s="31">
        <f>COUNTIFS(BC$3:BC$38, "=CIC NA")</f>
        <v>0</v>
      </c>
      <c r="BN52" s="34"/>
      <c r="BO52" s="29"/>
      <c r="BP52" s="29"/>
      <c r="BQ52" s="29"/>
      <c r="BR52" s="33"/>
      <c r="BS52" s="33"/>
      <c r="BT52" s="34"/>
      <c r="BU52" s="34"/>
      <c r="BV52" s="34"/>
      <c r="BW52" s="34"/>
      <c r="BX52" s="34"/>
      <c r="BY52" s="34"/>
      <c r="BZ52" s="31">
        <f>COUNTIFS(BP$3:BP$38, "=CIC NA")</f>
        <v>0</v>
      </c>
      <c r="CA52" s="34"/>
      <c r="CB52" s="29"/>
      <c r="CC52" s="29"/>
      <c r="CD52" s="29"/>
      <c r="CE52" s="33"/>
      <c r="CF52" s="33"/>
      <c r="CG52" s="34"/>
      <c r="CH52" s="34"/>
      <c r="CI52" s="34"/>
      <c r="CJ52" s="34"/>
      <c r="CK52" s="34"/>
      <c r="CL52" s="34"/>
      <c r="CM52" s="31">
        <f>COUNTIFS(CC$3:CC$38, "=CIC NA")</f>
        <v>2</v>
      </c>
      <c r="CN52" s="34"/>
      <c r="CO52" s="29"/>
      <c r="CP52" s="29"/>
      <c r="CQ52" s="29"/>
      <c r="CR52" s="33"/>
      <c r="CS52" s="33"/>
      <c r="CT52" s="34"/>
      <c r="CU52" s="34"/>
      <c r="CV52" s="34"/>
      <c r="CW52" s="34"/>
      <c r="CX52" s="34"/>
      <c r="CY52" s="34"/>
      <c r="CZ52" s="31">
        <f>COUNTIFS(CP$3:CP$37, "=CIC NA")</f>
        <v>0</v>
      </c>
      <c r="DA52" s="34"/>
      <c r="DB52" s="29"/>
      <c r="DC52" s="29"/>
      <c r="DD52" s="29"/>
      <c r="DE52" s="33"/>
      <c r="DF52" s="33"/>
      <c r="DG52" s="34"/>
      <c r="DH52" s="34"/>
      <c r="DI52" s="34"/>
      <c r="DJ52" s="34"/>
      <c r="DK52" s="34"/>
      <c r="DL52" s="34"/>
      <c r="DM52" s="31">
        <f>COUNTIFS(DC$3:DC$38, "=CIC NA")</f>
        <v>1</v>
      </c>
      <c r="DN52" s="34"/>
      <c r="DO52" s="29"/>
      <c r="DP52" s="29"/>
      <c r="DQ52" s="29"/>
      <c r="DR52" s="33"/>
      <c r="DS52" s="33"/>
      <c r="DT52" s="34"/>
      <c r="DU52" s="34"/>
      <c r="DV52" s="34"/>
      <c r="DW52" s="34"/>
      <c r="DX52" s="34"/>
      <c r="DY52" s="34"/>
      <c r="DZ52" s="31">
        <f>COUNTIFS(DP$3:DP$38, "=CIC NA")</f>
        <v>0</v>
      </c>
      <c r="EA52" s="34"/>
      <c r="EB52" s="29"/>
      <c r="EC52" s="29"/>
      <c r="ED52" s="29"/>
      <c r="EE52" s="33"/>
      <c r="EF52" s="33"/>
      <c r="EG52" s="34"/>
      <c r="EH52" s="34"/>
      <c r="EI52" s="34"/>
      <c r="EJ52" s="34"/>
      <c r="EK52" s="34"/>
      <c r="EL52" s="34"/>
      <c r="EM52" s="31">
        <f>COUNTIFS(EC$3:EC$38, "=CIC NA")</f>
        <v>0</v>
      </c>
      <c r="EN52" s="34"/>
      <c r="EO52" s="29"/>
      <c r="EP52" s="29"/>
      <c r="EQ52" s="29"/>
      <c r="ER52" s="33"/>
      <c r="ES52" s="33"/>
      <c r="ET52" s="34"/>
      <c r="EU52" s="34"/>
      <c r="EV52" s="34"/>
      <c r="EW52" s="34"/>
      <c r="EX52" s="34"/>
      <c r="EY52" s="34"/>
      <c r="EZ52" s="31">
        <f>COUNTIFS(EP$3:EP$38, "=CIC NA")</f>
        <v>0</v>
      </c>
      <c r="FA52" s="34"/>
      <c r="FB52" s="36"/>
      <c r="FC52" s="48"/>
      <c r="FD52" s="48"/>
      <c r="FE52" s="48"/>
      <c r="FF52" s="48"/>
      <c r="FG52" s="48"/>
      <c r="FH52" s="48"/>
      <c r="FI52" s="48"/>
      <c r="FJ52" s="48"/>
      <c r="FK52" s="48"/>
      <c r="FL52" s="48"/>
      <c r="FM52" s="48"/>
      <c r="FN52" s="48"/>
      <c r="FO52" s="48"/>
      <c r="FP52" s="48"/>
      <c r="FQ52" s="48"/>
      <c r="FR52" s="48"/>
      <c r="FS52" s="48"/>
      <c r="FT52" s="48"/>
      <c r="FU52" s="48"/>
      <c r="FV52" s="48"/>
      <c r="FW52" s="36"/>
      <c r="FX52" s="29">
        <f t="shared" si="2"/>
        <v>9</v>
      </c>
      <c r="FY52" s="29">
        <f t="shared" si="3"/>
        <v>1</v>
      </c>
      <c r="FZ52" s="29">
        <f t="shared" si="4"/>
        <v>3</v>
      </c>
      <c r="GA52" s="29">
        <f t="shared" si="5"/>
        <v>0</v>
      </c>
      <c r="GB52" s="36"/>
      <c r="GC52" s="41">
        <f t="shared" si="0"/>
        <v>13</v>
      </c>
      <c r="GD52" s="36"/>
      <c r="GE52" s="36"/>
      <c r="GF52" s="36"/>
      <c r="GG52" s="36"/>
      <c r="GH52" s="36"/>
      <c r="GI52" s="36"/>
      <c r="GJ52" s="36"/>
      <c r="GK52" s="36"/>
      <c r="GL52" s="36"/>
      <c r="GM52" s="36"/>
      <c r="GN52" s="36"/>
      <c r="GO52" s="36"/>
      <c r="GP52" s="36"/>
      <c r="GQ52" s="36"/>
      <c r="GR52" s="36"/>
      <c r="GS52" s="36"/>
      <c r="GT52" s="36"/>
      <c r="GU52" s="36"/>
      <c r="GV52" s="36"/>
      <c r="GW52" s="36"/>
      <c r="GX52" s="36"/>
      <c r="GY52" s="36"/>
      <c r="GZ52" s="36"/>
      <c r="HA52" s="36"/>
      <c r="HB52" s="36"/>
      <c r="HC52" s="36"/>
      <c r="HD52" s="36"/>
      <c r="HE52" s="36"/>
      <c r="HF52" s="36"/>
      <c r="HG52" s="36"/>
      <c r="HH52" s="36"/>
      <c r="HI52" s="36"/>
      <c r="HJ52" s="36"/>
      <c r="HK52" s="36"/>
      <c r="HL52" s="36"/>
      <c r="HM52" s="36"/>
      <c r="HN52" s="36"/>
      <c r="HO52" s="36"/>
      <c r="HP52" s="36"/>
      <c r="HQ52" s="36"/>
      <c r="HR52" s="36"/>
      <c r="HS52" s="36"/>
      <c r="HT52" s="36"/>
      <c r="HU52" s="36"/>
      <c r="HV52" s="36"/>
      <c r="HW52" s="36"/>
      <c r="HX52" s="36"/>
      <c r="HY52" s="36"/>
      <c r="HZ52" s="36"/>
      <c r="IA52" s="36"/>
    </row>
    <row r="53" spans="1:235">
      <c r="A53" s="42" t="s">
        <v>1591</v>
      </c>
      <c r="B53" s="28"/>
      <c r="C53" s="29"/>
      <c r="D53" s="29"/>
      <c r="E53" s="28"/>
      <c r="F53" s="28"/>
      <c r="G53" s="28"/>
      <c r="H53" s="28"/>
      <c r="I53" s="28"/>
      <c r="J53" s="28"/>
      <c r="K53" s="28"/>
      <c r="L53" s="28"/>
      <c r="M53" s="31">
        <f>COUNTIFS(C$3:C$38, "=PH")</f>
        <v>0</v>
      </c>
      <c r="N53" s="34"/>
      <c r="O53" s="29"/>
      <c r="P53" s="29"/>
      <c r="Q53" s="29"/>
      <c r="R53" s="33"/>
      <c r="S53" s="33"/>
      <c r="T53" s="34"/>
      <c r="U53" s="34"/>
      <c r="V53" s="34"/>
      <c r="W53" s="34"/>
      <c r="X53" s="34"/>
      <c r="Y53" s="34"/>
      <c r="Z53" s="31">
        <f>COUNTIFS(P$3:P$38, "=PH")</f>
        <v>0</v>
      </c>
      <c r="AA53" s="34"/>
      <c r="AB53" s="29"/>
      <c r="AC53" s="29"/>
      <c r="AD53" s="29"/>
      <c r="AE53" s="33"/>
      <c r="AF53" s="33"/>
      <c r="AG53" s="34"/>
      <c r="AH53" s="34"/>
      <c r="AI53" s="34"/>
      <c r="AJ53" s="34"/>
      <c r="AK53" s="34"/>
      <c r="AL53" s="34"/>
      <c r="AM53" s="31">
        <f>COUNTIFS(AC$3:AC$38, "=PH")</f>
        <v>0</v>
      </c>
      <c r="AN53" s="34"/>
      <c r="AO53" s="29"/>
      <c r="AP53" s="29"/>
      <c r="AQ53" s="29"/>
      <c r="AR53" s="33"/>
      <c r="AS53" s="33"/>
      <c r="AT53" s="34"/>
      <c r="AU53" s="34"/>
      <c r="AV53" s="34"/>
      <c r="AW53" s="34"/>
      <c r="AX53" s="34"/>
      <c r="AY53" s="34"/>
      <c r="AZ53" s="31">
        <f>COUNTIFS(AP$3:AP$38, "=PH")</f>
        <v>0</v>
      </c>
      <c r="BA53" s="34"/>
      <c r="BB53" s="29"/>
      <c r="BC53" s="29"/>
      <c r="BD53" s="29"/>
      <c r="BE53" s="33"/>
      <c r="BF53" s="33"/>
      <c r="BG53" s="34"/>
      <c r="BH53" s="34"/>
      <c r="BI53" s="34"/>
      <c r="BJ53" s="34"/>
      <c r="BK53" s="34"/>
      <c r="BL53" s="34"/>
      <c r="BM53" s="31">
        <f>COUNTIFS(BC$3:BC$38, "=PH")</f>
        <v>0</v>
      </c>
      <c r="BN53" s="34"/>
      <c r="BO53" s="29"/>
      <c r="BP53" s="29"/>
      <c r="BQ53" s="29"/>
      <c r="BR53" s="33"/>
      <c r="BS53" s="33"/>
      <c r="BT53" s="34"/>
      <c r="BU53" s="34"/>
      <c r="BV53" s="34"/>
      <c r="BW53" s="34"/>
      <c r="BX53" s="34"/>
      <c r="BY53" s="34"/>
      <c r="BZ53" s="31">
        <f>COUNTIFS(BP$3:BP$38, "=PH")</f>
        <v>0</v>
      </c>
      <c r="CA53" s="34"/>
      <c r="CB53" s="29"/>
      <c r="CC53" s="29"/>
      <c r="CD53" s="29"/>
      <c r="CE53" s="33"/>
      <c r="CF53" s="33"/>
      <c r="CG53" s="34"/>
      <c r="CH53" s="34"/>
      <c r="CI53" s="34"/>
      <c r="CJ53" s="34"/>
      <c r="CK53" s="34"/>
      <c r="CL53" s="34"/>
      <c r="CM53" s="31">
        <f>COUNTIFS(CC$3:CC$38, "=PH")</f>
        <v>0</v>
      </c>
      <c r="CN53" s="34"/>
      <c r="CO53" s="29"/>
      <c r="CP53" s="29"/>
      <c r="CQ53" s="29"/>
      <c r="CR53" s="33"/>
      <c r="CS53" s="33"/>
      <c r="CT53" s="34"/>
      <c r="CU53" s="34"/>
      <c r="CV53" s="34"/>
      <c r="CW53" s="34"/>
      <c r="CX53" s="34"/>
      <c r="CY53" s="34"/>
      <c r="CZ53" s="31">
        <f>COUNTIFS(CP$3:CP$37, "=PH")</f>
        <v>2</v>
      </c>
      <c r="DA53" s="34"/>
      <c r="DB53" s="29"/>
      <c r="DC53" s="29"/>
      <c r="DD53" s="29"/>
      <c r="DE53" s="33"/>
      <c r="DF53" s="33"/>
      <c r="DG53" s="34"/>
      <c r="DH53" s="34"/>
      <c r="DI53" s="34"/>
      <c r="DJ53" s="34"/>
      <c r="DK53" s="34"/>
      <c r="DL53" s="34"/>
      <c r="DM53" s="31">
        <f>COUNTIFS(DC$3:DC$38, "=PH")</f>
        <v>0</v>
      </c>
      <c r="DN53" s="34"/>
      <c r="DO53" s="29"/>
      <c r="DP53" s="29"/>
      <c r="DQ53" s="29"/>
      <c r="DR53" s="33"/>
      <c r="DS53" s="33"/>
      <c r="DT53" s="34"/>
      <c r="DU53" s="34"/>
      <c r="DV53" s="34"/>
      <c r="DW53" s="34"/>
      <c r="DX53" s="34"/>
      <c r="DY53" s="34"/>
      <c r="DZ53" s="31">
        <f>COUNTIFS(DP$3:DP$38, "=PH")</f>
        <v>1</v>
      </c>
      <c r="EA53" s="34"/>
      <c r="EB53" s="29"/>
      <c r="EC53" s="29"/>
      <c r="ED53" s="29"/>
      <c r="EE53" s="33"/>
      <c r="EF53" s="33"/>
      <c r="EG53" s="34"/>
      <c r="EH53" s="34"/>
      <c r="EI53" s="34"/>
      <c r="EJ53" s="34"/>
      <c r="EK53" s="34"/>
      <c r="EL53" s="34"/>
      <c r="EM53" s="31">
        <f>COUNTIFS(EC$3:EC$38, "=PH")</f>
        <v>0</v>
      </c>
      <c r="EN53" s="34"/>
      <c r="EO53" s="29"/>
      <c r="EP53" s="29"/>
      <c r="EQ53" s="29"/>
      <c r="ER53" s="33"/>
      <c r="ES53" s="33"/>
      <c r="ET53" s="34"/>
      <c r="EU53" s="34"/>
      <c r="EV53" s="34"/>
      <c r="EW53" s="34"/>
      <c r="EX53" s="34"/>
      <c r="EY53" s="34"/>
      <c r="EZ53" s="31">
        <f>COUNTIFS(EP$3:EP$38, "=PH")</f>
        <v>0</v>
      </c>
      <c r="FA53" s="34"/>
      <c r="FB53" s="36"/>
      <c r="FC53" s="48"/>
      <c r="FD53" s="48"/>
      <c r="FE53" s="48"/>
      <c r="FF53" s="48"/>
      <c r="FG53" s="48"/>
      <c r="FH53" s="48"/>
      <c r="FI53" s="48"/>
      <c r="FJ53" s="48"/>
      <c r="FK53" s="48"/>
      <c r="FL53" s="48"/>
      <c r="FM53" s="48"/>
      <c r="FN53" s="48"/>
      <c r="FO53" s="48"/>
      <c r="FP53" s="48"/>
      <c r="FQ53" s="48"/>
      <c r="FR53" s="48"/>
      <c r="FS53" s="48"/>
      <c r="FT53" s="48"/>
      <c r="FU53" s="48"/>
      <c r="FV53" s="48"/>
      <c r="FW53" s="36"/>
      <c r="FX53" s="29">
        <f t="shared" si="2"/>
        <v>0</v>
      </c>
      <c r="FY53" s="29">
        <f t="shared" si="3"/>
        <v>0</v>
      </c>
      <c r="FZ53" s="29">
        <f t="shared" si="4"/>
        <v>2</v>
      </c>
      <c r="GA53" s="29">
        <f t="shared" si="5"/>
        <v>1</v>
      </c>
      <c r="GB53" s="36"/>
      <c r="GC53" s="41">
        <f t="shared" si="0"/>
        <v>3</v>
      </c>
      <c r="GD53" s="36"/>
      <c r="GE53" s="36"/>
      <c r="GF53" s="36"/>
      <c r="GG53" s="36"/>
      <c r="GH53" s="36"/>
      <c r="GI53" s="36"/>
      <c r="GJ53" s="36"/>
      <c r="GK53" s="36"/>
      <c r="GL53" s="36"/>
      <c r="GM53" s="36"/>
      <c r="GN53" s="36"/>
      <c r="GO53" s="36"/>
      <c r="GP53" s="36"/>
      <c r="GQ53" s="36"/>
      <c r="GR53" s="36"/>
      <c r="GS53" s="36"/>
      <c r="GT53" s="36"/>
      <c r="GU53" s="36"/>
      <c r="GV53" s="36"/>
      <c r="GW53" s="36"/>
      <c r="GX53" s="36"/>
      <c r="GY53" s="36"/>
      <c r="GZ53" s="36"/>
      <c r="HA53" s="36"/>
      <c r="HB53" s="36"/>
      <c r="HC53" s="36"/>
      <c r="HD53" s="36"/>
      <c r="HE53" s="36"/>
      <c r="HF53" s="36"/>
      <c r="HG53" s="36"/>
      <c r="HH53" s="36"/>
      <c r="HI53" s="36"/>
      <c r="HJ53" s="36"/>
      <c r="HK53" s="36"/>
      <c r="HL53" s="36"/>
      <c r="HM53" s="36"/>
      <c r="HN53" s="36"/>
      <c r="HO53" s="36"/>
      <c r="HP53" s="36"/>
      <c r="HQ53" s="36"/>
      <c r="HR53" s="36"/>
      <c r="HS53" s="36"/>
      <c r="HT53" s="36"/>
      <c r="HU53" s="36"/>
      <c r="HV53" s="36"/>
      <c r="HW53" s="36"/>
      <c r="HX53" s="36"/>
      <c r="HY53" s="36"/>
      <c r="HZ53" s="36"/>
      <c r="IA53" s="36"/>
    </row>
    <row r="54" spans="1:235">
      <c r="A54" s="42" t="s">
        <v>1592</v>
      </c>
      <c r="B54" s="28"/>
      <c r="C54" s="29"/>
      <c r="D54" s="29"/>
      <c r="E54" s="28"/>
      <c r="F54" s="28"/>
      <c r="G54" s="28"/>
      <c r="H54" s="28"/>
      <c r="I54" s="28"/>
      <c r="J54" s="28"/>
      <c r="K54" s="28"/>
      <c r="L54" s="28"/>
      <c r="M54" s="31">
        <f>COUNTIFS(C$3:C$38, "=CIC WE")</f>
        <v>0</v>
      </c>
      <c r="N54" s="34"/>
      <c r="O54" s="29"/>
      <c r="P54" s="29"/>
      <c r="Q54" s="29"/>
      <c r="R54" s="33"/>
      <c r="S54" s="33"/>
      <c r="T54" s="34"/>
      <c r="U54" s="34"/>
      <c r="V54" s="34"/>
      <c r="W54" s="34"/>
      <c r="X54" s="34"/>
      <c r="Y54" s="34"/>
      <c r="Z54" s="31">
        <f>COUNTIFS(P$3:P$38, "=CIC WE")</f>
        <v>1</v>
      </c>
      <c r="AA54" s="34"/>
      <c r="AB54" s="29"/>
      <c r="AC54" s="29"/>
      <c r="AD54" s="29"/>
      <c r="AE54" s="33"/>
      <c r="AF54" s="33"/>
      <c r="AG54" s="34"/>
      <c r="AH54" s="34"/>
      <c r="AI54" s="34"/>
      <c r="AJ54" s="34"/>
      <c r="AK54" s="34"/>
      <c r="AL54" s="34"/>
      <c r="AM54" s="31">
        <f>COUNTIFS(AC$3:AC$38, "=CIC WE")</f>
        <v>0</v>
      </c>
      <c r="AN54" s="34"/>
      <c r="AO54" s="29"/>
      <c r="AP54" s="29"/>
      <c r="AQ54" s="29"/>
      <c r="AR54" s="33"/>
      <c r="AS54" s="33"/>
      <c r="AT54" s="34"/>
      <c r="AU54" s="34"/>
      <c r="AV54" s="34"/>
      <c r="AW54" s="34"/>
      <c r="AX54" s="34"/>
      <c r="AY54" s="34"/>
      <c r="AZ54" s="31">
        <f>COUNTIFS(AP$3:AP$38, "=CIC WE")</f>
        <v>0</v>
      </c>
      <c r="BA54" s="34"/>
      <c r="BB54" s="29"/>
      <c r="BC54" s="29"/>
      <c r="BD54" s="29"/>
      <c r="BE54" s="33"/>
      <c r="BF54" s="33"/>
      <c r="BG54" s="34"/>
      <c r="BH54" s="34"/>
      <c r="BI54" s="34"/>
      <c r="BJ54" s="34"/>
      <c r="BK54" s="34"/>
      <c r="BL54" s="34"/>
      <c r="BM54" s="31">
        <f>COUNTIFS(BC$3:BC$38, "=CIC WE")</f>
        <v>0</v>
      </c>
      <c r="BN54" s="34"/>
      <c r="BO54" s="29"/>
      <c r="BP54" s="29"/>
      <c r="BQ54" s="29"/>
      <c r="BR54" s="33"/>
      <c r="BS54" s="33"/>
      <c r="BT54" s="34"/>
      <c r="BU54" s="34"/>
      <c r="BV54" s="34"/>
      <c r="BW54" s="34"/>
      <c r="BX54" s="34"/>
      <c r="BY54" s="34"/>
      <c r="BZ54" s="31">
        <f>COUNTIFS(BP$3:BP$38, "=CIC WE")</f>
        <v>1</v>
      </c>
      <c r="CA54" s="34"/>
      <c r="CB54" s="29"/>
      <c r="CC54" s="29"/>
      <c r="CD54" s="29"/>
      <c r="CE54" s="33"/>
      <c r="CF54" s="33"/>
      <c r="CG54" s="34"/>
      <c r="CH54" s="34"/>
      <c r="CI54" s="34"/>
      <c r="CJ54" s="34"/>
      <c r="CK54" s="34"/>
      <c r="CL54" s="34"/>
      <c r="CM54" s="31">
        <f>COUNTIFS(CC$3:CC$38, "=CIC WE")</f>
        <v>0</v>
      </c>
      <c r="CN54" s="34"/>
      <c r="CO54" s="29"/>
      <c r="CP54" s="29"/>
      <c r="CQ54" s="29"/>
      <c r="CR54" s="33"/>
      <c r="CS54" s="33"/>
      <c r="CT54" s="34"/>
      <c r="CU54" s="34"/>
      <c r="CV54" s="34"/>
      <c r="CW54" s="34"/>
      <c r="CX54" s="34"/>
      <c r="CY54" s="34"/>
      <c r="CZ54" s="31">
        <f>COUNTIFS(CP$3:CP$37, "=CIC WE")</f>
        <v>0</v>
      </c>
      <c r="DA54" s="34"/>
      <c r="DB54" s="29"/>
      <c r="DC54" s="29"/>
      <c r="DD54" s="29"/>
      <c r="DE54" s="33"/>
      <c r="DF54" s="33"/>
      <c r="DG54" s="34"/>
      <c r="DH54" s="34"/>
      <c r="DI54" s="34"/>
      <c r="DJ54" s="34"/>
      <c r="DK54" s="34"/>
      <c r="DL54" s="34"/>
      <c r="DM54" s="31">
        <f>COUNTIFS(DC$3:DC$38, "=CIC WE")</f>
        <v>1</v>
      </c>
      <c r="DN54" s="34"/>
      <c r="DO54" s="29"/>
      <c r="DP54" s="29"/>
      <c r="DQ54" s="29"/>
      <c r="DR54" s="33"/>
      <c r="DS54" s="33"/>
      <c r="DT54" s="34"/>
      <c r="DU54" s="34"/>
      <c r="DV54" s="34"/>
      <c r="DW54" s="34"/>
      <c r="DX54" s="34"/>
      <c r="DY54" s="34"/>
      <c r="DZ54" s="31">
        <f>COUNTIFS(DP$3:DP$38, "=CIC WE")</f>
        <v>1</v>
      </c>
      <c r="EA54" s="34"/>
      <c r="EB54" s="29"/>
      <c r="EC54" s="29"/>
      <c r="ED54" s="29"/>
      <c r="EE54" s="33"/>
      <c r="EF54" s="33"/>
      <c r="EG54" s="34"/>
      <c r="EH54" s="34"/>
      <c r="EI54" s="34"/>
      <c r="EJ54" s="34"/>
      <c r="EK54" s="34"/>
      <c r="EL54" s="34"/>
      <c r="EM54" s="31">
        <f>COUNTIFS(EC$3:EC$38, "=CIC WE")</f>
        <v>0</v>
      </c>
      <c r="EN54" s="34"/>
      <c r="EO54" s="29"/>
      <c r="EP54" s="29"/>
      <c r="EQ54" s="29"/>
      <c r="ER54" s="33"/>
      <c r="ES54" s="33"/>
      <c r="ET54" s="34"/>
      <c r="EU54" s="34"/>
      <c r="EV54" s="34"/>
      <c r="EW54" s="34"/>
      <c r="EX54" s="34"/>
      <c r="EY54" s="34"/>
      <c r="EZ54" s="31">
        <f>COUNTIFS(EP$3:EP$38, "=CIC WE")</f>
        <v>0</v>
      </c>
      <c r="FA54" s="34"/>
      <c r="FB54" s="36"/>
      <c r="FC54" s="48"/>
      <c r="FD54" s="48"/>
      <c r="FE54" s="48"/>
      <c r="FF54" s="48"/>
      <c r="FG54" s="48"/>
      <c r="FH54" s="48"/>
      <c r="FI54" s="48"/>
      <c r="FJ54" s="48"/>
      <c r="FK54" s="48"/>
      <c r="FL54" s="48"/>
      <c r="FM54" s="48"/>
      <c r="FN54" s="48"/>
      <c r="FO54" s="48"/>
      <c r="FP54" s="48"/>
      <c r="FQ54" s="48"/>
      <c r="FR54" s="48"/>
      <c r="FS54" s="48"/>
      <c r="FT54" s="48"/>
      <c r="FU54" s="48"/>
      <c r="FV54" s="48"/>
      <c r="FW54" s="36"/>
      <c r="FX54" s="29">
        <f t="shared" si="2"/>
        <v>1</v>
      </c>
      <c r="FY54" s="29">
        <f t="shared" si="3"/>
        <v>1</v>
      </c>
      <c r="FZ54" s="29">
        <f t="shared" si="4"/>
        <v>1</v>
      </c>
      <c r="GA54" s="29">
        <f t="shared" si="5"/>
        <v>1</v>
      </c>
      <c r="GB54" s="36"/>
      <c r="GC54" s="41">
        <f t="shared" si="0"/>
        <v>4</v>
      </c>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6"/>
      <c r="HC54" s="36"/>
      <c r="HD54" s="36"/>
      <c r="HE54" s="36"/>
      <c r="HF54" s="36"/>
      <c r="HG54" s="36"/>
      <c r="HH54" s="36"/>
      <c r="HI54" s="36"/>
      <c r="HJ54" s="36"/>
      <c r="HK54" s="36"/>
      <c r="HL54" s="36"/>
      <c r="HM54" s="36"/>
      <c r="HN54" s="36"/>
      <c r="HO54" s="36"/>
      <c r="HP54" s="36"/>
      <c r="HQ54" s="36"/>
      <c r="HR54" s="36"/>
      <c r="HS54" s="36"/>
      <c r="HT54" s="36"/>
      <c r="HU54" s="36"/>
      <c r="HV54" s="36"/>
      <c r="HW54" s="36"/>
      <c r="HX54" s="36"/>
      <c r="HY54" s="36"/>
      <c r="HZ54" s="36"/>
      <c r="IA54" s="36"/>
    </row>
    <row r="55" spans="1:235">
      <c r="A55" s="42" t="s">
        <v>1593</v>
      </c>
      <c r="B55" s="28"/>
      <c r="C55" s="29"/>
      <c r="D55" s="29"/>
      <c r="E55" s="28"/>
      <c r="F55" s="28"/>
      <c r="G55" s="28"/>
      <c r="H55" s="28"/>
      <c r="I55" s="28"/>
      <c r="J55" s="28"/>
      <c r="K55" s="28"/>
      <c r="L55" s="28"/>
      <c r="M55" s="31">
        <f>COUNTIFS(C$3:C$38, "=AP")</f>
        <v>1</v>
      </c>
      <c r="N55" s="34"/>
      <c r="O55" s="29"/>
      <c r="P55" s="29"/>
      <c r="Q55" s="29"/>
      <c r="R55" s="33"/>
      <c r="S55" s="33"/>
      <c r="T55" s="34"/>
      <c r="U55" s="34"/>
      <c r="V55" s="34"/>
      <c r="W55" s="34"/>
      <c r="X55" s="34"/>
      <c r="Y55" s="34"/>
      <c r="Z55" s="31">
        <f>COUNTIFS(P$3:P$38, "=AP")</f>
        <v>1</v>
      </c>
      <c r="AA55" s="34"/>
      <c r="AB55" s="29"/>
      <c r="AC55" s="29"/>
      <c r="AD55" s="29"/>
      <c r="AE55" s="33"/>
      <c r="AF55" s="33"/>
      <c r="AG55" s="34"/>
      <c r="AH55" s="34"/>
      <c r="AI55" s="34"/>
      <c r="AJ55" s="34"/>
      <c r="AK55" s="34"/>
      <c r="AL55" s="34"/>
      <c r="AM55" s="31">
        <f>COUNTIFS(AC$3:AC$38, "=AP")</f>
        <v>0</v>
      </c>
      <c r="AN55" s="34"/>
      <c r="AO55" s="29"/>
      <c r="AP55" s="29"/>
      <c r="AQ55" s="29"/>
      <c r="AR55" s="33"/>
      <c r="AS55" s="33"/>
      <c r="AT55" s="34"/>
      <c r="AU55" s="34"/>
      <c r="AV55" s="34"/>
      <c r="AW55" s="34"/>
      <c r="AX55" s="34"/>
      <c r="AY55" s="34"/>
      <c r="AZ55" s="31">
        <f>COUNTIFS(AP$3:AP$38, "=AP")</f>
        <v>0</v>
      </c>
      <c r="BA55" s="34"/>
      <c r="BB55" s="29"/>
      <c r="BC55" s="29"/>
      <c r="BD55" s="29"/>
      <c r="BE55" s="33"/>
      <c r="BF55" s="33"/>
      <c r="BG55" s="34"/>
      <c r="BH55" s="34"/>
      <c r="BI55" s="34"/>
      <c r="BJ55" s="34"/>
      <c r="BK55" s="34"/>
      <c r="BL55" s="34"/>
      <c r="BM55" s="31">
        <f>COUNTIFS(BC$3:BC$38, "=AP")</f>
        <v>0</v>
      </c>
      <c r="BN55" s="34"/>
      <c r="BO55" s="29"/>
      <c r="BP55" s="29"/>
      <c r="BQ55" s="29"/>
      <c r="BR55" s="33"/>
      <c r="BS55" s="33"/>
      <c r="BT55" s="34"/>
      <c r="BU55" s="34"/>
      <c r="BV55" s="34"/>
      <c r="BW55" s="34"/>
      <c r="BX55" s="34"/>
      <c r="BY55" s="34"/>
      <c r="BZ55" s="31">
        <f>COUNTIFS(BP$3:BP$38, "=AP")</f>
        <v>0</v>
      </c>
      <c r="CA55" s="34"/>
      <c r="CB55" s="29"/>
      <c r="CC55" s="29"/>
      <c r="CD55" s="29"/>
      <c r="CE55" s="33"/>
      <c r="CF55" s="33"/>
      <c r="CG55" s="34"/>
      <c r="CH55" s="34"/>
      <c r="CI55" s="34"/>
      <c r="CJ55" s="34"/>
      <c r="CK55" s="34"/>
      <c r="CL55" s="34"/>
      <c r="CM55" s="31">
        <f>COUNTIFS(CC$3:CC$38, "=AP")</f>
        <v>1</v>
      </c>
      <c r="CN55" s="34"/>
      <c r="CO55" s="29"/>
      <c r="CP55" s="29"/>
      <c r="CQ55" s="29"/>
      <c r="CR55" s="33"/>
      <c r="CS55" s="33"/>
      <c r="CT55" s="34"/>
      <c r="CU55" s="34"/>
      <c r="CV55" s="34"/>
      <c r="CW55" s="34"/>
      <c r="CX55" s="34"/>
      <c r="CY55" s="34"/>
      <c r="CZ55" s="31">
        <f>COUNTIFS(CP$3:CP$37, "=AP")</f>
        <v>1</v>
      </c>
      <c r="DA55" s="34"/>
      <c r="DB55" s="29"/>
      <c r="DC55" s="29"/>
      <c r="DD55" s="29"/>
      <c r="DE55" s="33"/>
      <c r="DF55" s="33"/>
      <c r="DG55" s="34"/>
      <c r="DH55" s="34"/>
      <c r="DI55" s="34"/>
      <c r="DJ55" s="34"/>
      <c r="DK55" s="34"/>
      <c r="DL55" s="34"/>
      <c r="DM55" s="31">
        <f>COUNTIFS(DC$3:DC$38, "=AP")</f>
        <v>1</v>
      </c>
      <c r="DN55" s="34"/>
      <c r="DO55" s="29"/>
      <c r="DP55" s="29"/>
      <c r="DQ55" s="29"/>
      <c r="DR55" s="33"/>
      <c r="DS55" s="33"/>
      <c r="DT55" s="34"/>
      <c r="DU55" s="34"/>
      <c r="DV55" s="34"/>
      <c r="DW55" s="34"/>
      <c r="DX55" s="34"/>
      <c r="DY55" s="34"/>
      <c r="DZ55" s="31">
        <f>COUNTIFS(DP$3:DP$38, "=AP")</f>
        <v>1</v>
      </c>
      <c r="EA55" s="34"/>
      <c r="EB55" s="29"/>
      <c r="EC55" s="29"/>
      <c r="ED55" s="29"/>
      <c r="EE55" s="33"/>
      <c r="EF55" s="33"/>
      <c r="EG55" s="34"/>
      <c r="EH55" s="34"/>
      <c r="EI55" s="34"/>
      <c r="EJ55" s="34"/>
      <c r="EK55" s="34"/>
      <c r="EL55" s="34"/>
      <c r="EM55" s="31">
        <f>COUNTIFS(EC$3:EC$38, "=AP")</f>
        <v>0</v>
      </c>
      <c r="EN55" s="34"/>
      <c r="EO55" s="29"/>
      <c r="EP55" s="29"/>
      <c r="EQ55" s="29"/>
      <c r="ER55" s="33"/>
      <c r="ES55" s="33"/>
      <c r="ET55" s="34"/>
      <c r="EU55" s="34"/>
      <c r="EV55" s="34"/>
      <c r="EW55" s="34"/>
      <c r="EX55" s="34"/>
      <c r="EY55" s="34"/>
      <c r="EZ55" s="31">
        <f>COUNTIFS(EP$3:EP$38, "=AP")</f>
        <v>0</v>
      </c>
      <c r="FA55" s="34"/>
      <c r="FB55" s="36"/>
      <c r="FC55" s="48"/>
      <c r="FD55" s="48"/>
      <c r="FE55" s="48"/>
      <c r="FF55" s="48"/>
      <c r="FG55" s="48"/>
      <c r="FH55" s="48"/>
      <c r="FI55" s="48"/>
      <c r="FJ55" s="48"/>
      <c r="FK55" s="48"/>
      <c r="FL55" s="48"/>
      <c r="FM55" s="48"/>
      <c r="FN55" s="48"/>
      <c r="FO55" s="48"/>
      <c r="FP55" s="48"/>
      <c r="FQ55" s="48"/>
      <c r="FR55" s="48"/>
      <c r="FS55" s="48"/>
      <c r="FT55" s="48"/>
      <c r="FU55" s="48"/>
      <c r="FV55" s="48"/>
      <c r="FW55" s="36"/>
      <c r="FX55" s="29">
        <f t="shared" si="2"/>
        <v>2</v>
      </c>
      <c r="FY55" s="29">
        <f t="shared" si="3"/>
        <v>0</v>
      </c>
      <c r="FZ55" s="29">
        <f t="shared" si="4"/>
        <v>3</v>
      </c>
      <c r="GA55" s="29">
        <f t="shared" si="5"/>
        <v>1</v>
      </c>
      <c r="GB55" s="36"/>
      <c r="GC55" s="41">
        <f t="shared" si="0"/>
        <v>6</v>
      </c>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6"/>
      <c r="HC55" s="36"/>
      <c r="HD55" s="36"/>
      <c r="HE55" s="36"/>
      <c r="HF55" s="36"/>
      <c r="HG55" s="36"/>
      <c r="HH55" s="36"/>
      <c r="HI55" s="36"/>
      <c r="HJ55" s="36"/>
      <c r="HK55" s="36"/>
      <c r="HL55" s="36"/>
      <c r="HM55" s="36"/>
      <c r="HN55" s="36"/>
      <c r="HO55" s="36"/>
      <c r="HP55" s="36"/>
      <c r="HQ55" s="36"/>
      <c r="HR55" s="36"/>
      <c r="HS55" s="36"/>
      <c r="HT55" s="36"/>
      <c r="HU55" s="36"/>
      <c r="HV55" s="36"/>
      <c r="HW55" s="36"/>
      <c r="HX55" s="36"/>
      <c r="HY55" s="36"/>
      <c r="HZ55" s="36"/>
      <c r="IA55" s="36"/>
    </row>
    <row r="56" spans="1:235">
      <c r="A56" s="42" t="s">
        <v>1594</v>
      </c>
      <c r="B56" s="28"/>
      <c r="C56" s="29"/>
      <c r="D56" s="29"/>
      <c r="E56" s="28"/>
      <c r="F56" s="28"/>
      <c r="G56" s="28"/>
      <c r="H56" s="28"/>
      <c r="I56" s="28"/>
      <c r="J56" s="28"/>
      <c r="K56" s="28"/>
      <c r="L56" s="28"/>
      <c r="M56" s="31">
        <f>COUNTIFS(C$3:C$38, "=Geo China")</f>
        <v>0</v>
      </c>
      <c r="N56" s="34"/>
      <c r="O56" s="29"/>
      <c r="P56" s="29"/>
      <c r="Q56" s="29"/>
      <c r="R56" s="33"/>
      <c r="S56" s="33"/>
      <c r="T56" s="34"/>
      <c r="U56" s="34"/>
      <c r="V56" s="34"/>
      <c r="W56" s="34"/>
      <c r="X56" s="34"/>
      <c r="Y56" s="34"/>
      <c r="Z56" s="31">
        <f>COUNTIFS(P$3:P$38, "=Geo China")</f>
        <v>0</v>
      </c>
      <c r="AA56" s="34"/>
      <c r="AB56" s="29"/>
      <c r="AC56" s="29"/>
      <c r="AD56" s="29"/>
      <c r="AE56" s="33"/>
      <c r="AF56" s="33"/>
      <c r="AG56" s="34"/>
      <c r="AH56" s="34"/>
      <c r="AI56" s="34"/>
      <c r="AJ56" s="34"/>
      <c r="AK56" s="34"/>
      <c r="AL56" s="34"/>
      <c r="AM56" s="31">
        <f>COUNTIFS(AC$3:AC$38, "=Geo China")</f>
        <v>0</v>
      </c>
      <c r="AN56" s="34"/>
      <c r="AO56" s="29"/>
      <c r="AP56" s="29"/>
      <c r="AQ56" s="29"/>
      <c r="AR56" s="33"/>
      <c r="AS56" s="33"/>
      <c r="AT56" s="34"/>
      <c r="AU56" s="34"/>
      <c r="AV56" s="34"/>
      <c r="AW56" s="34"/>
      <c r="AX56" s="34"/>
      <c r="AY56" s="34"/>
      <c r="AZ56" s="31">
        <f>COUNTIFS(AP$3:AP$38, "=Geo China")</f>
        <v>0</v>
      </c>
      <c r="BA56" s="34"/>
      <c r="BB56" s="29"/>
      <c r="BC56" s="29"/>
      <c r="BD56" s="29"/>
      <c r="BE56" s="33"/>
      <c r="BF56" s="33"/>
      <c r="BG56" s="34"/>
      <c r="BH56" s="34"/>
      <c r="BI56" s="34"/>
      <c r="BJ56" s="34"/>
      <c r="BK56" s="34"/>
      <c r="BL56" s="34"/>
      <c r="BM56" s="31">
        <f>COUNTIFS(BC$3:BC$38, "=Geo China")</f>
        <v>1</v>
      </c>
      <c r="BN56" s="34"/>
      <c r="BO56" s="29"/>
      <c r="BP56" s="29"/>
      <c r="BQ56" s="29"/>
      <c r="BR56" s="33"/>
      <c r="BS56" s="33"/>
      <c r="BT56" s="34"/>
      <c r="BU56" s="34"/>
      <c r="BV56" s="34"/>
      <c r="BW56" s="34"/>
      <c r="BX56" s="34"/>
      <c r="BY56" s="34"/>
      <c r="BZ56" s="31">
        <f>COUNTIFS(BP$3:BP$38, "=Geo China")</f>
        <v>0</v>
      </c>
      <c r="CA56" s="34"/>
      <c r="CB56" s="29"/>
      <c r="CC56" s="29"/>
      <c r="CD56" s="29"/>
      <c r="CE56" s="33"/>
      <c r="CF56" s="33"/>
      <c r="CG56" s="34"/>
      <c r="CH56" s="34"/>
      <c r="CI56" s="34"/>
      <c r="CJ56" s="34"/>
      <c r="CK56" s="34"/>
      <c r="CL56" s="34"/>
      <c r="CM56" s="31">
        <f>COUNTIFS(CC$3:CC$38, "=Geo China")</f>
        <v>1</v>
      </c>
      <c r="CN56" s="34"/>
      <c r="CO56" s="29"/>
      <c r="CP56" s="29"/>
      <c r="CQ56" s="29"/>
      <c r="CR56" s="33"/>
      <c r="CS56" s="33"/>
      <c r="CT56" s="34"/>
      <c r="CU56" s="34"/>
      <c r="CV56" s="34"/>
      <c r="CW56" s="34"/>
      <c r="CX56" s="34"/>
      <c r="CY56" s="34"/>
      <c r="CZ56" s="31">
        <f>COUNTIFS(CP$3:CP$37, "=Geo China")</f>
        <v>1</v>
      </c>
      <c r="DA56" s="34"/>
      <c r="DB56" s="29"/>
      <c r="DC56" s="29"/>
      <c r="DD56" s="29"/>
      <c r="DE56" s="33"/>
      <c r="DF56" s="33"/>
      <c r="DG56" s="34"/>
      <c r="DH56" s="34"/>
      <c r="DI56" s="34"/>
      <c r="DJ56" s="34"/>
      <c r="DK56" s="34"/>
      <c r="DL56" s="34"/>
      <c r="DM56" s="31">
        <f>COUNTIFS(DC$3:DC$38, "=Geo China")</f>
        <v>0</v>
      </c>
      <c r="DN56" s="34"/>
      <c r="DO56" s="29"/>
      <c r="DP56" s="29"/>
      <c r="DQ56" s="29"/>
      <c r="DR56" s="33"/>
      <c r="DS56" s="33"/>
      <c r="DT56" s="34"/>
      <c r="DU56" s="34"/>
      <c r="DV56" s="34"/>
      <c r="DW56" s="34"/>
      <c r="DX56" s="34"/>
      <c r="DY56" s="34"/>
      <c r="DZ56" s="31">
        <f>COUNTIFS(DP$3:DP$38, "=Geo China")</f>
        <v>0</v>
      </c>
      <c r="EA56" s="34"/>
      <c r="EB56" s="29"/>
      <c r="EC56" s="29"/>
      <c r="ED56" s="29"/>
      <c r="EE56" s="33"/>
      <c r="EF56" s="33"/>
      <c r="EG56" s="34"/>
      <c r="EH56" s="34"/>
      <c r="EI56" s="34"/>
      <c r="EJ56" s="34"/>
      <c r="EK56" s="34"/>
      <c r="EL56" s="34"/>
      <c r="EM56" s="31">
        <f>COUNTIFS(EC$3:EC$38, "=Geo China")</f>
        <v>0</v>
      </c>
      <c r="EN56" s="34"/>
      <c r="EO56" s="29"/>
      <c r="EP56" s="29"/>
      <c r="EQ56" s="29"/>
      <c r="ER56" s="33"/>
      <c r="ES56" s="33"/>
      <c r="ET56" s="34"/>
      <c r="EU56" s="34"/>
      <c r="EV56" s="34"/>
      <c r="EW56" s="34"/>
      <c r="EX56" s="34"/>
      <c r="EY56" s="34"/>
      <c r="EZ56" s="31">
        <f>COUNTIFS(EP$3:EP$38, "=Geo China")</f>
        <v>0</v>
      </c>
      <c r="FA56" s="34"/>
      <c r="FB56" s="36"/>
      <c r="FC56" s="48"/>
      <c r="FD56" s="48"/>
      <c r="FE56" s="48"/>
      <c r="FF56" s="48"/>
      <c r="FG56" s="48"/>
      <c r="FH56" s="48"/>
      <c r="FI56" s="48"/>
      <c r="FJ56" s="48"/>
      <c r="FK56" s="48"/>
      <c r="FL56" s="48"/>
      <c r="FM56" s="48"/>
      <c r="FN56" s="48"/>
      <c r="FO56" s="48"/>
      <c r="FP56" s="48"/>
      <c r="FQ56" s="48"/>
      <c r="FR56" s="48"/>
      <c r="FS56" s="48"/>
      <c r="FT56" s="48"/>
      <c r="FU56" s="48"/>
      <c r="FV56" s="48"/>
      <c r="FW56" s="36"/>
      <c r="FX56" s="29">
        <f t="shared" si="2"/>
        <v>0</v>
      </c>
      <c r="FY56" s="29">
        <f t="shared" si="3"/>
        <v>1</v>
      </c>
      <c r="FZ56" s="29">
        <f t="shared" si="4"/>
        <v>2</v>
      </c>
      <c r="GA56" s="29">
        <f t="shared" si="5"/>
        <v>0</v>
      </c>
      <c r="GB56" s="36"/>
      <c r="GC56" s="41">
        <f t="shared" si="0"/>
        <v>3</v>
      </c>
      <c r="GD56" s="36"/>
      <c r="GE56" s="36"/>
      <c r="GF56" s="36"/>
      <c r="GG56" s="36"/>
      <c r="GH56" s="36"/>
      <c r="GI56" s="36"/>
      <c r="GJ56" s="36"/>
      <c r="GK56" s="36"/>
      <c r="GL56" s="36"/>
      <c r="GM56" s="36"/>
      <c r="GN56" s="36"/>
      <c r="GO56" s="36"/>
      <c r="GP56" s="36"/>
      <c r="GQ56" s="36"/>
      <c r="GR56" s="36"/>
      <c r="GS56" s="36"/>
      <c r="GT56" s="36"/>
      <c r="GU56" s="36"/>
      <c r="GV56" s="36"/>
      <c r="GW56" s="36"/>
      <c r="GX56" s="36"/>
      <c r="GY56" s="36"/>
      <c r="GZ56" s="36"/>
      <c r="HA56" s="36"/>
      <c r="HB56" s="36"/>
      <c r="HC56" s="36"/>
      <c r="HD56" s="36"/>
      <c r="HE56" s="36"/>
      <c r="HF56" s="36"/>
      <c r="HG56" s="36"/>
      <c r="HH56" s="36"/>
      <c r="HI56" s="36"/>
      <c r="HJ56" s="36"/>
      <c r="HK56" s="36"/>
      <c r="HL56" s="36"/>
      <c r="HM56" s="36"/>
      <c r="HN56" s="36"/>
      <c r="HO56" s="36"/>
      <c r="HP56" s="36"/>
      <c r="HQ56" s="36"/>
      <c r="HR56" s="36"/>
      <c r="HS56" s="36"/>
      <c r="HT56" s="36"/>
      <c r="HU56" s="36"/>
      <c r="HV56" s="36"/>
      <c r="HW56" s="36"/>
      <c r="HX56" s="36"/>
      <c r="HY56" s="36"/>
      <c r="HZ56" s="36"/>
      <c r="IA56" s="36"/>
    </row>
    <row r="57" spans="1:235">
      <c r="A57" s="42" t="s">
        <v>1595</v>
      </c>
      <c r="B57" s="28"/>
      <c r="C57" s="29"/>
      <c r="D57" s="29"/>
      <c r="E57" s="28"/>
      <c r="F57" s="28"/>
      <c r="G57" s="28"/>
      <c r="H57" s="28"/>
      <c r="I57" s="28"/>
      <c r="J57" s="28"/>
      <c r="K57" s="28"/>
      <c r="L57" s="28"/>
      <c r="M57" s="31">
        <f>COUNTIFS(C$3:C$38, "=Japan")</f>
        <v>0</v>
      </c>
      <c r="N57" s="34"/>
      <c r="O57" s="29"/>
      <c r="P57" s="29"/>
      <c r="Q57" s="29"/>
      <c r="R57" s="33"/>
      <c r="S57" s="33"/>
      <c r="T57" s="34"/>
      <c r="U57" s="34"/>
      <c r="V57" s="34"/>
      <c r="W57" s="34"/>
      <c r="X57" s="34"/>
      <c r="Y57" s="34"/>
      <c r="Z57" s="31">
        <f>COUNTIFS(P$3:P$38, "=Japan")</f>
        <v>0</v>
      </c>
      <c r="AA57" s="34"/>
      <c r="AB57" s="29"/>
      <c r="AC57" s="29"/>
      <c r="AD57" s="29"/>
      <c r="AE57" s="33"/>
      <c r="AF57" s="33"/>
      <c r="AG57" s="34"/>
      <c r="AH57" s="34"/>
      <c r="AI57" s="34"/>
      <c r="AJ57" s="34"/>
      <c r="AK57" s="34"/>
      <c r="AL57" s="34"/>
      <c r="AM57" s="31">
        <f>COUNTIFS(AC$3:AC$38, "=Japan")</f>
        <v>0</v>
      </c>
      <c r="AN57" s="34"/>
      <c r="AO57" s="29"/>
      <c r="AP57" s="29"/>
      <c r="AQ57" s="29"/>
      <c r="AR57" s="33"/>
      <c r="AS57" s="33"/>
      <c r="AT57" s="34"/>
      <c r="AU57" s="34"/>
      <c r="AV57" s="34"/>
      <c r="AW57" s="34"/>
      <c r="AX57" s="34"/>
      <c r="AY57" s="34"/>
      <c r="AZ57" s="31">
        <f>COUNTIFS(AP$3:AP$38, "=Japan")</f>
        <v>5</v>
      </c>
      <c r="BA57" s="34"/>
      <c r="BB57" s="29"/>
      <c r="BC57" s="29"/>
      <c r="BD57" s="29"/>
      <c r="BE57" s="33"/>
      <c r="BF57" s="33"/>
      <c r="BG57" s="34"/>
      <c r="BH57" s="34"/>
      <c r="BI57" s="34"/>
      <c r="BJ57" s="34"/>
      <c r="BK57" s="34"/>
      <c r="BL57" s="34"/>
      <c r="BM57" s="31">
        <f>COUNTIFS(BC$3:BC$38, "=Japan")</f>
        <v>0</v>
      </c>
      <c r="BN57" s="34"/>
      <c r="BO57" s="29"/>
      <c r="BP57" s="29"/>
      <c r="BQ57" s="29"/>
      <c r="BR57" s="33"/>
      <c r="BS57" s="33"/>
      <c r="BT57" s="34"/>
      <c r="BU57" s="34"/>
      <c r="BV57" s="34"/>
      <c r="BW57" s="34"/>
      <c r="BX57" s="34"/>
      <c r="BY57" s="34"/>
      <c r="BZ57" s="31">
        <f>COUNTIFS(BP$3:BP$38, "=Japan")</f>
        <v>0</v>
      </c>
      <c r="CA57" s="34"/>
      <c r="CB57" s="29"/>
      <c r="CC57" s="29"/>
      <c r="CD57" s="29"/>
      <c r="CE57" s="33"/>
      <c r="CF57" s="33"/>
      <c r="CG57" s="34"/>
      <c r="CH57" s="34"/>
      <c r="CI57" s="34"/>
      <c r="CJ57" s="34"/>
      <c r="CK57" s="34"/>
      <c r="CL57" s="34"/>
      <c r="CM57" s="31">
        <f>COUNTIFS(CC$3:CC$38, "=Japan")</f>
        <v>0</v>
      </c>
      <c r="CN57" s="34"/>
      <c r="CO57" s="29"/>
      <c r="CP57" s="29"/>
      <c r="CQ57" s="29"/>
      <c r="CR57" s="33"/>
      <c r="CS57" s="33"/>
      <c r="CT57" s="34"/>
      <c r="CU57" s="34"/>
      <c r="CV57" s="34"/>
      <c r="CW57" s="34"/>
      <c r="CX57" s="34"/>
      <c r="CY57" s="34"/>
      <c r="CZ57" s="31">
        <f>COUNTIFS(CP$3:CP$37, "=Japan")</f>
        <v>0</v>
      </c>
      <c r="DA57" s="34"/>
      <c r="DB57" s="29"/>
      <c r="DC57" s="29"/>
      <c r="DD57" s="29"/>
      <c r="DE57" s="33"/>
      <c r="DF57" s="33"/>
      <c r="DG57" s="34"/>
      <c r="DH57" s="34"/>
      <c r="DI57" s="34"/>
      <c r="DJ57" s="34"/>
      <c r="DK57" s="34"/>
      <c r="DL57" s="34"/>
      <c r="DM57" s="31">
        <f>COUNTIFS(DC$3:DC$38, "=Japan")</f>
        <v>0</v>
      </c>
      <c r="DN57" s="34"/>
      <c r="DO57" s="29"/>
      <c r="DP57" s="29"/>
      <c r="DQ57" s="29"/>
      <c r="DR57" s="33"/>
      <c r="DS57" s="33"/>
      <c r="DT57" s="34"/>
      <c r="DU57" s="34"/>
      <c r="DV57" s="34"/>
      <c r="DW57" s="34"/>
      <c r="DX57" s="34"/>
      <c r="DY57" s="34"/>
      <c r="DZ57" s="31">
        <f>COUNTIFS(DP$3:DP$38, "=Japan")</f>
        <v>1</v>
      </c>
      <c r="EA57" s="34"/>
      <c r="EB57" s="29"/>
      <c r="EC57" s="29"/>
      <c r="ED57" s="29"/>
      <c r="EE57" s="33"/>
      <c r="EF57" s="33"/>
      <c r="EG57" s="34"/>
      <c r="EH57" s="34"/>
      <c r="EI57" s="34"/>
      <c r="EJ57" s="34"/>
      <c r="EK57" s="34"/>
      <c r="EL57" s="34"/>
      <c r="EM57" s="31">
        <f>COUNTIFS(EC$3:EC$38, "=Japan")</f>
        <v>0</v>
      </c>
      <c r="EN57" s="34"/>
      <c r="EO57" s="29"/>
      <c r="EP57" s="29"/>
      <c r="EQ57" s="29"/>
      <c r="ER57" s="33"/>
      <c r="ES57" s="33"/>
      <c r="ET57" s="34"/>
      <c r="EU57" s="34"/>
      <c r="EV57" s="34"/>
      <c r="EW57" s="34"/>
      <c r="EX57" s="34"/>
      <c r="EY57" s="34"/>
      <c r="EZ57" s="31">
        <f>COUNTIFS(EP$3:EP$38, "=Japan")</f>
        <v>0</v>
      </c>
      <c r="FA57" s="34"/>
      <c r="FB57" s="36"/>
      <c r="FC57" s="48"/>
      <c r="FD57" s="48"/>
      <c r="FE57" s="48"/>
      <c r="FF57" s="48"/>
      <c r="FG57" s="48"/>
      <c r="FH57" s="48"/>
      <c r="FI57" s="48"/>
      <c r="FJ57" s="48"/>
      <c r="FK57" s="48"/>
      <c r="FL57" s="48"/>
      <c r="FM57" s="48"/>
      <c r="FN57" s="48"/>
      <c r="FO57" s="48"/>
      <c r="FP57" s="48"/>
      <c r="FQ57" s="48"/>
      <c r="FR57" s="48"/>
      <c r="FS57" s="48"/>
      <c r="FT57" s="48"/>
      <c r="FU57" s="48"/>
      <c r="FV57" s="48"/>
      <c r="FW57" s="36"/>
      <c r="FX57" s="29">
        <f t="shared" si="2"/>
        <v>0</v>
      </c>
      <c r="FY57" s="29">
        <f t="shared" si="3"/>
        <v>5</v>
      </c>
      <c r="FZ57" s="29">
        <f t="shared" si="4"/>
        <v>0</v>
      </c>
      <c r="GA57" s="29">
        <f t="shared" si="5"/>
        <v>1</v>
      </c>
      <c r="GB57" s="36"/>
      <c r="GC57" s="41">
        <f t="shared" si="0"/>
        <v>6</v>
      </c>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6"/>
      <c r="HC57" s="36"/>
      <c r="HD57" s="36"/>
      <c r="HE57" s="36"/>
      <c r="HF57" s="36"/>
      <c r="HG57" s="36"/>
      <c r="HH57" s="36"/>
      <c r="HI57" s="36"/>
      <c r="HJ57" s="36"/>
      <c r="HK57" s="36"/>
      <c r="HL57" s="36"/>
      <c r="HM57" s="36"/>
      <c r="HN57" s="36"/>
      <c r="HO57" s="36"/>
      <c r="HP57" s="36"/>
      <c r="HQ57" s="36"/>
      <c r="HR57" s="36"/>
      <c r="HS57" s="36"/>
      <c r="HT57" s="36"/>
      <c r="HU57" s="36"/>
      <c r="HV57" s="36"/>
      <c r="HW57" s="36"/>
      <c r="HX57" s="36"/>
      <c r="HY57" s="36"/>
      <c r="HZ57" s="36"/>
      <c r="IA57" s="36"/>
    </row>
    <row r="58" spans="1:235">
      <c r="A58" s="42" t="s">
        <v>1596</v>
      </c>
      <c r="B58" s="28"/>
      <c r="C58" s="29"/>
      <c r="D58" s="29"/>
      <c r="E58" s="28"/>
      <c r="F58" s="28"/>
      <c r="G58" s="28"/>
      <c r="H58" s="28"/>
      <c r="I58" s="28"/>
      <c r="J58" s="28"/>
      <c r="K58" s="28"/>
      <c r="L58" s="28"/>
      <c r="M58" s="31">
        <f>COUNTIFS(C$3:C$38, "=Geo MEA")</f>
        <v>0</v>
      </c>
      <c r="N58" s="34"/>
      <c r="O58" s="29"/>
      <c r="P58" s="29"/>
      <c r="Q58" s="29"/>
      <c r="R58" s="33"/>
      <c r="S58" s="33"/>
      <c r="T58" s="34"/>
      <c r="U58" s="34"/>
      <c r="V58" s="34"/>
      <c r="W58" s="34"/>
      <c r="X58" s="34"/>
      <c r="Y58" s="34"/>
      <c r="Z58" s="31">
        <f>COUNTIFS(P$3:P$38, "=Geo MEA")</f>
        <v>0</v>
      </c>
      <c r="AA58" s="34"/>
      <c r="AB58" s="29"/>
      <c r="AC58" s="29"/>
      <c r="AD58" s="29"/>
      <c r="AE58" s="33"/>
      <c r="AF58" s="33"/>
      <c r="AG58" s="34"/>
      <c r="AH58" s="34"/>
      <c r="AI58" s="34"/>
      <c r="AJ58" s="34"/>
      <c r="AK58" s="34"/>
      <c r="AL58" s="34"/>
      <c r="AM58" s="31">
        <f>COUNTIFS(AC$3:AC$38, "=Geo MEA")</f>
        <v>0</v>
      </c>
      <c r="AN58" s="34"/>
      <c r="AO58" s="29"/>
      <c r="AP58" s="29"/>
      <c r="AQ58" s="29"/>
      <c r="AR58" s="33"/>
      <c r="AS58" s="33"/>
      <c r="AT58" s="34"/>
      <c r="AU58" s="34"/>
      <c r="AV58" s="34"/>
      <c r="AW58" s="34"/>
      <c r="AX58" s="34"/>
      <c r="AY58" s="34"/>
      <c r="AZ58" s="31">
        <f>COUNTIFS(AP$3:AP$38, "=Geo MEA")</f>
        <v>0</v>
      </c>
      <c r="BA58" s="34"/>
      <c r="BB58" s="29"/>
      <c r="BC58" s="29"/>
      <c r="BD58" s="29"/>
      <c r="BE58" s="33"/>
      <c r="BF58" s="33"/>
      <c r="BG58" s="34"/>
      <c r="BH58" s="34"/>
      <c r="BI58" s="34"/>
      <c r="BJ58" s="34"/>
      <c r="BK58" s="34"/>
      <c r="BL58" s="34"/>
      <c r="BM58" s="31">
        <f>COUNTIFS(BC$3:BC$38, "=Geo MEA")</f>
        <v>0</v>
      </c>
      <c r="BN58" s="34"/>
      <c r="BO58" s="29"/>
      <c r="BP58" s="29"/>
      <c r="BQ58" s="29"/>
      <c r="BR58" s="33"/>
      <c r="BS58" s="33"/>
      <c r="BT58" s="34"/>
      <c r="BU58" s="34"/>
      <c r="BV58" s="34"/>
      <c r="BW58" s="34"/>
      <c r="BX58" s="34"/>
      <c r="BY58" s="34"/>
      <c r="BZ58" s="31">
        <f>COUNTIFS(BP$3:BP$38, "=Geo MEA")</f>
        <v>0</v>
      </c>
      <c r="CA58" s="34"/>
      <c r="CB58" s="29"/>
      <c r="CC58" s="29"/>
      <c r="CD58" s="29"/>
      <c r="CE58" s="33"/>
      <c r="CF58" s="33"/>
      <c r="CG58" s="34"/>
      <c r="CH58" s="34"/>
      <c r="CI58" s="34"/>
      <c r="CJ58" s="34"/>
      <c r="CK58" s="34"/>
      <c r="CL58" s="34"/>
      <c r="CM58" s="31">
        <f>COUNTIFS(CC$3:CC$38, "=Geo MEA")</f>
        <v>0</v>
      </c>
      <c r="CN58" s="34"/>
      <c r="CO58" s="29"/>
      <c r="CP58" s="29"/>
      <c r="CQ58" s="29"/>
      <c r="CR58" s="33"/>
      <c r="CS58" s="33"/>
      <c r="CT58" s="34"/>
      <c r="CU58" s="34"/>
      <c r="CV58" s="34"/>
      <c r="CW58" s="34"/>
      <c r="CX58" s="34"/>
      <c r="CY58" s="34"/>
      <c r="CZ58" s="31">
        <f>COUNTIFS(CP$3:CP$37, "=Geo MEA")</f>
        <v>1</v>
      </c>
      <c r="DA58" s="34"/>
      <c r="DB58" s="29"/>
      <c r="DC58" s="29"/>
      <c r="DD58" s="29"/>
      <c r="DE58" s="33"/>
      <c r="DF58" s="33"/>
      <c r="DG58" s="34"/>
      <c r="DH58" s="34"/>
      <c r="DI58" s="34"/>
      <c r="DJ58" s="34"/>
      <c r="DK58" s="34"/>
      <c r="DL58" s="34"/>
      <c r="DM58" s="31">
        <f>COUNTIFS(DC$3:DC$38, "=Geo MEA")</f>
        <v>0</v>
      </c>
      <c r="DN58" s="34"/>
      <c r="DO58" s="29"/>
      <c r="DP58" s="29"/>
      <c r="DQ58" s="29"/>
      <c r="DR58" s="33"/>
      <c r="DS58" s="33"/>
      <c r="DT58" s="34"/>
      <c r="DU58" s="34"/>
      <c r="DV58" s="34"/>
      <c r="DW58" s="34"/>
      <c r="DX58" s="34"/>
      <c r="DY58" s="34"/>
      <c r="DZ58" s="31">
        <f>COUNTIFS(DP$3:DP$38, "=Geo MEA")</f>
        <v>0</v>
      </c>
      <c r="EA58" s="34"/>
      <c r="EB58" s="29"/>
      <c r="EC58" s="29"/>
      <c r="ED58" s="29"/>
      <c r="EE58" s="33"/>
      <c r="EF58" s="33"/>
      <c r="EG58" s="34"/>
      <c r="EH58" s="34"/>
      <c r="EI58" s="34"/>
      <c r="EJ58" s="34"/>
      <c r="EK58" s="34"/>
      <c r="EL58" s="34"/>
      <c r="EM58" s="31">
        <f>COUNTIFS(EC$3:EC$38, "=Geo MEA")</f>
        <v>0</v>
      </c>
      <c r="EN58" s="34"/>
      <c r="EO58" s="29"/>
      <c r="EP58" s="29"/>
      <c r="EQ58" s="29"/>
      <c r="ER58" s="33"/>
      <c r="ES58" s="33"/>
      <c r="ET58" s="34"/>
      <c r="EU58" s="34"/>
      <c r="EV58" s="34"/>
      <c r="EW58" s="34"/>
      <c r="EX58" s="34"/>
      <c r="EY58" s="34"/>
      <c r="EZ58" s="31">
        <f>COUNTIFS(EP$3:EP$38, "=Geo MEA")</f>
        <v>0</v>
      </c>
      <c r="FA58" s="34"/>
      <c r="FB58" s="36"/>
      <c r="FC58" s="48"/>
      <c r="FD58" s="48"/>
      <c r="FE58" s="48"/>
      <c r="FF58" s="48"/>
      <c r="FG58" s="48"/>
      <c r="FH58" s="48"/>
      <c r="FI58" s="48"/>
      <c r="FJ58" s="48"/>
      <c r="FK58" s="48"/>
      <c r="FL58" s="48"/>
      <c r="FM58" s="48"/>
      <c r="FN58" s="48"/>
      <c r="FO58" s="48"/>
      <c r="FP58" s="48"/>
      <c r="FQ58" s="48"/>
      <c r="FR58" s="48"/>
      <c r="FS58" s="48"/>
      <c r="FT58" s="48"/>
      <c r="FU58" s="48"/>
      <c r="FV58" s="48"/>
      <c r="FW58" s="36"/>
      <c r="FX58" s="29">
        <f t="shared" si="2"/>
        <v>0</v>
      </c>
      <c r="FY58" s="29">
        <f t="shared" si="3"/>
        <v>0</v>
      </c>
      <c r="FZ58" s="29">
        <f t="shared" si="4"/>
        <v>1</v>
      </c>
      <c r="GA58" s="29">
        <f t="shared" si="5"/>
        <v>0</v>
      </c>
      <c r="GB58" s="36"/>
      <c r="GC58" s="41">
        <f t="shared" si="0"/>
        <v>1</v>
      </c>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row>
    <row r="59" spans="1:235">
      <c r="A59" s="42" t="s">
        <v>1597</v>
      </c>
      <c r="B59" s="28"/>
      <c r="C59" s="29"/>
      <c r="D59" s="29"/>
      <c r="E59" s="28"/>
      <c r="F59" s="28"/>
      <c r="G59" s="28"/>
      <c r="H59" s="28"/>
      <c r="I59" s="28"/>
      <c r="J59" s="28"/>
      <c r="K59" s="28"/>
      <c r="L59" s="28"/>
      <c r="M59" s="31">
        <f>COUNTIFS(C$3:C$38, "=Geo NA Canada")</f>
        <v>0</v>
      </c>
      <c r="N59" s="34"/>
      <c r="O59" s="29"/>
      <c r="P59" s="29"/>
      <c r="Q59" s="29"/>
      <c r="R59" s="33"/>
      <c r="S59" s="33"/>
      <c r="T59" s="34"/>
      <c r="U59" s="34"/>
      <c r="V59" s="34"/>
      <c r="W59" s="34"/>
      <c r="X59" s="34"/>
      <c r="Y59" s="34"/>
      <c r="Z59" s="31">
        <f>COUNTIFS(P$3:P$38, "=Geo NA Canada")</f>
        <v>1</v>
      </c>
      <c r="AA59" s="34"/>
      <c r="AB59" s="29"/>
      <c r="AC59" s="29"/>
      <c r="AD59" s="29"/>
      <c r="AE59" s="33"/>
      <c r="AF59" s="33"/>
      <c r="AG59" s="34"/>
      <c r="AH59" s="34"/>
      <c r="AI59" s="34"/>
      <c r="AJ59" s="34"/>
      <c r="AK59" s="34"/>
      <c r="AL59" s="34"/>
      <c r="AM59" s="31">
        <f>COUNTIFS(AC$3:AC$38, "=Geo NA Canada")</f>
        <v>1</v>
      </c>
      <c r="AN59" s="34"/>
      <c r="AO59" s="29"/>
      <c r="AP59" s="29"/>
      <c r="AQ59" s="29"/>
      <c r="AR59" s="33"/>
      <c r="AS59" s="33"/>
      <c r="AT59" s="34"/>
      <c r="AU59" s="34"/>
      <c r="AV59" s="34"/>
      <c r="AW59" s="34"/>
      <c r="AX59" s="34"/>
      <c r="AY59" s="34"/>
      <c r="AZ59" s="31">
        <f>COUNTIFS(AP$3:AP$38, "=Geo NA Canada")</f>
        <v>1</v>
      </c>
      <c r="BA59" s="34"/>
      <c r="BB59" s="29"/>
      <c r="BC59" s="29"/>
      <c r="BD59" s="29"/>
      <c r="BE59" s="33"/>
      <c r="BF59" s="33"/>
      <c r="BG59" s="34"/>
      <c r="BH59" s="34"/>
      <c r="BI59" s="34"/>
      <c r="BJ59" s="34"/>
      <c r="BK59" s="34"/>
      <c r="BL59" s="34"/>
      <c r="BM59" s="31">
        <f>COUNTIFS(BC$3:BC$38, "=Geo NA Canada")</f>
        <v>0</v>
      </c>
      <c r="BN59" s="34"/>
      <c r="BO59" s="29"/>
      <c r="BP59" s="29"/>
      <c r="BQ59" s="29"/>
      <c r="BR59" s="33"/>
      <c r="BS59" s="33"/>
      <c r="BT59" s="34"/>
      <c r="BU59" s="34"/>
      <c r="BV59" s="34"/>
      <c r="BW59" s="34"/>
      <c r="BX59" s="34"/>
      <c r="BY59" s="34"/>
      <c r="BZ59" s="31">
        <f>COUNTIFS(BP$3:BP$38, "=Geo NA Canada")</f>
        <v>0</v>
      </c>
      <c r="CA59" s="34"/>
      <c r="CB59" s="29"/>
      <c r="CC59" s="29"/>
      <c r="CD59" s="29"/>
      <c r="CE59" s="33"/>
      <c r="CF59" s="33"/>
      <c r="CG59" s="34"/>
      <c r="CH59" s="34"/>
      <c r="CI59" s="34"/>
      <c r="CJ59" s="34"/>
      <c r="CK59" s="34"/>
      <c r="CL59" s="34"/>
      <c r="CM59" s="31">
        <f>COUNTIFS(CC$3:CC$38, "=Geo NA Canada")</f>
        <v>1</v>
      </c>
      <c r="CN59" s="34"/>
      <c r="CO59" s="29"/>
      <c r="CP59" s="29"/>
      <c r="CQ59" s="29"/>
      <c r="CR59" s="33"/>
      <c r="CS59" s="33"/>
      <c r="CT59" s="34"/>
      <c r="CU59" s="34"/>
      <c r="CV59" s="34"/>
      <c r="CW59" s="34"/>
      <c r="CX59" s="34"/>
      <c r="CY59" s="34"/>
      <c r="CZ59" s="31">
        <f>COUNTIFS(CP$3:CP$37, "=Geo NA Canada")</f>
        <v>1</v>
      </c>
      <c r="DA59" s="34"/>
      <c r="DB59" s="29"/>
      <c r="DC59" s="29"/>
      <c r="DD59" s="29"/>
      <c r="DE59" s="33"/>
      <c r="DF59" s="33"/>
      <c r="DG59" s="34"/>
      <c r="DH59" s="34"/>
      <c r="DI59" s="34"/>
      <c r="DJ59" s="34"/>
      <c r="DK59" s="34"/>
      <c r="DL59" s="34"/>
      <c r="DM59" s="31">
        <f>COUNTIFS(DC$3:DC$38, "=Geo NA Canada")</f>
        <v>0</v>
      </c>
      <c r="DN59" s="34"/>
      <c r="DO59" s="29"/>
      <c r="DP59" s="29"/>
      <c r="DQ59" s="29"/>
      <c r="DR59" s="33"/>
      <c r="DS59" s="33"/>
      <c r="DT59" s="34"/>
      <c r="DU59" s="34"/>
      <c r="DV59" s="34"/>
      <c r="DW59" s="34"/>
      <c r="DX59" s="34"/>
      <c r="DY59" s="34"/>
      <c r="DZ59" s="31">
        <f>COUNTIFS(DP$3:DP$38, "=Geo NA Canada")</f>
        <v>1</v>
      </c>
      <c r="EA59" s="34"/>
      <c r="EB59" s="29"/>
      <c r="EC59" s="29"/>
      <c r="ED59" s="29"/>
      <c r="EE59" s="33"/>
      <c r="EF59" s="33"/>
      <c r="EG59" s="34"/>
      <c r="EH59" s="34"/>
      <c r="EI59" s="34"/>
      <c r="EJ59" s="34"/>
      <c r="EK59" s="34"/>
      <c r="EL59" s="34"/>
      <c r="EM59" s="31">
        <f>COUNTIFS(EC$3:EC$38, "=Geo NA Canada")</f>
        <v>0</v>
      </c>
      <c r="EN59" s="34"/>
      <c r="EO59" s="29"/>
      <c r="EP59" s="29"/>
      <c r="EQ59" s="29"/>
      <c r="ER59" s="33"/>
      <c r="ES59" s="33"/>
      <c r="ET59" s="34"/>
      <c r="EU59" s="34"/>
      <c r="EV59" s="34"/>
      <c r="EW59" s="34"/>
      <c r="EX59" s="34"/>
      <c r="EY59" s="34"/>
      <c r="EZ59" s="31">
        <f>COUNTIFS(EP$3:EP$38, "=Geo NA Canada")</f>
        <v>0</v>
      </c>
      <c r="FA59" s="34"/>
      <c r="FB59" s="36"/>
      <c r="FC59" s="48"/>
      <c r="FD59" s="48"/>
      <c r="FE59" s="48"/>
      <c r="FF59" s="48"/>
      <c r="FG59" s="48"/>
      <c r="FH59" s="48"/>
      <c r="FI59" s="48"/>
      <c r="FJ59" s="48"/>
      <c r="FK59" s="48"/>
      <c r="FL59" s="48"/>
      <c r="FM59" s="48"/>
      <c r="FN59" s="48"/>
      <c r="FO59" s="48"/>
      <c r="FP59" s="48"/>
      <c r="FQ59" s="48"/>
      <c r="FR59" s="48"/>
      <c r="FS59" s="48"/>
      <c r="FT59" s="48"/>
      <c r="FU59" s="48"/>
      <c r="FV59" s="48"/>
      <c r="FW59" s="36"/>
      <c r="FX59" s="29">
        <f t="shared" si="2"/>
        <v>2</v>
      </c>
      <c r="FY59" s="29">
        <f t="shared" si="3"/>
        <v>1</v>
      </c>
      <c r="FZ59" s="29">
        <f t="shared" si="4"/>
        <v>2</v>
      </c>
      <c r="GA59" s="29">
        <f t="shared" si="5"/>
        <v>1</v>
      </c>
      <c r="GB59" s="36"/>
      <c r="GC59" s="41">
        <f t="shared" si="0"/>
        <v>6</v>
      </c>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6"/>
      <c r="HC59" s="36"/>
      <c r="HD59" s="36"/>
      <c r="HE59" s="36"/>
      <c r="HF59" s="36"/>
      <c r="HG59" s="36"/>
      <c r="HH59" s="36"/>
      <c r="HI59" s="36"/>
      <c r="HJ59" s="36"/>
      <c r="HK59" s="36"/>
      <c r="HL59" s="36"/>
      <c r="HM59" s="36"/>
      <c r="HN59" s="36"/>
      <c r="HO59" s="36"/>
      <c r="HP59" s="36"/>
      <c r="HQ59" s="36"/>
      <c r="HR59" s="36"/>
      <c r="HS59" s="36"/>
      <c r="HT59" s="36"/>
      <c r="HU59" s="36"/>
      <c r="HV59" s="36"/>
      <c r="HW59" s="36"/>
      <c r="HX59" s="36"/>
      <c r="HY59" s="36"/>
      <c r="HZ59" s="36"/>
      <c r="IA59" s="36"/>
    </row>
    <row r="60" spans="1:235">
      <c r="A60" s="42" t="s">
        <v>1598</v>
      </c>
      <c r="B60" s="28"/>
      <c r="C60" s="29"/>
      <c r="D60" s="29"/>
      <c r="E60" s="28"/>
      <c r="F60" s="28"/>
      <c r="G60" s="28"/>
      <c r="H60" s="28"/>
      <c r="I60" s="28"/>
      <c r="J60" s="28"/>
      <c r="K60" s="28"/>
      <c r="L60" s="28"/>
      <c r="M60" s="31">
        <f>COUNTIFS(C$3:C$38, "=Geo NA US")</f>
        <v>0</v>
      </c>
      <c r="N60" s="34"/>
      <c r="O60" s="29"/>
      <c r="P60" s="29"/>
      <c r="Q60" s="29"/>
      <c r="R60" s="33"/>
      <c r="S60" s="33"/>
      <c r="T60" s="34"/>
      <c r="U60" s="34"/>
      <c r="V60" s="34"/>
      <c r="W60" s="34"/>
      <c r="X60" s="34"/>
      <c r="Y60" s="34"/>
      <c r="Z60" s="31">
        <f>COUNTIFS(P$3:P$38, "=Geo NA US")</f>
        <v>0</v>
      </c>
      <c r="AA60" s="34"/>
      <c r="AB60" s="29"/>
      <c r="AC60" s="29"/>
      <c r="AD60" s="29"/>
      <c r="AE60" s="33"/>
      <c r="AF60" s="33"/>
      <c r="AG60" s="34"/>
      <c r="AH60" s="34"/>
      <c r="AI60" s="34"/>
      <c r="AJ60" s="34"/>
      <c r="AK60" s="34"/>
      <c r="AL60" s="34"/>
      <c r="AM60" s="31">
        <f>COUNTIFS(AC$3:AC$38, "=Geo NA US")</f>
        <v>1</v>
      </c>
      <c r="AN60" s="34"/>
      <c r="AO60" s="29"/>
      <c r="AP60" s="29"/>
      <c r="AQ60" s="29"/>
      <c r="AR60" s="33"/>
      <c r="AS60" s="33"/>
      <c r="AT60" s="34"/>
      <c r="AU60" s="34"/>
      <c r="AV60" s="34"/>
      <c r="AW60" s="34"/>
      <c r="AX60" s="34"/>
      <c r="AY60" s="34"/>
      <c r="AZ60" s="31">
        <f>COUNTIFS(AP$3:AP$38, "=Geo NA US")</f>
        <v>1</v>
      </c>
      <c r="BA60" s="34"/>
      <c r="BB60" s="29"/>
      <c r="BC60" s="29"/>
      <c r="BD60" s="29"/>
      <c r="BE60" s="33"/>
      <c r="BF60" s="33"/>
      <c r="BG60" s="34"/>
      <c r="BH60" s="34"/>
      <c r="BI60" s="34"/>
      <c r="BJ60" s="34"/>
      <c r="BK60" s="34"/>
      <c r="BL60" s="34"/>
      <c r="BM60" s="31">
        <f>COUNTIFS(BC$3:BC$38, "=Geo NA US")</f>
        <v>0</v>
      </c>
      <c r="BN60" s="34"/>
      <c r="BO60" s="29"/>
      <c r="BP60" s="29"/>
      <c r="BQ60" s="29"/>
      <c r="BR60" s="33"/>
      <c r="BS60" s="33"/>
      <c r="BT60" s="34"/>
      <c r="BU60" s="34"/>
      <c r="BV60" s="34"/>
      <c r="BW60" s="34"/>
      <c r="BX60" s="34"/>
      <c r="BY60" s="34"/>
      <c r="BZ60" s="31">
        <f>COUNTIFS(BP$3:BP$38, "=Geo NA US")</f>
        <v>0</v>
      </c>
      <c r="CA60" s="34"/>
      <c r="CB60" s="29"/>
      <c r="CC60" s="29"/>
      <c r="CD60" s="29"/>
      <c r="CE60" s="33"/>
      <c r="CF60" s="33"/>
      <c r="CG60" s="34"/>
      <c r="CH60" s="34"/>
      <c r="CI60" s="34"/>
      <c r="CJ60" s="34"/>
      <c r="CK60" s="34"/>
      <c r="CL60" s="34"/>
      <c r="CM60" s="31">
        <f>COUNTIFS(CC$3:CC$38, "=Geo NA US")</f>
        <v>1</v>
      </c>
      <c r="CN60" s="34"/>
      <c r="CO60" s="29"/>
      <c r="CP60" s="29"/>
      <c r="CQ60" s="29"/>
      <c r="CR60" s="33"/>
      <c r="CS60" s="33"/>
      <c r="CT60" s="34"/>
      <c r="CU60" s="34"/>
      <c r="CV60" s="34"/>
      <c r="CW60" s="34"/>
      <c r="CX60" s="34"/>
      <c r="CY60" s="34"/>
      <c r="CZ60" s="31">
        <f>COUNTIFS(CP$3:CP$37, "=Geo NA US")</f>
        <v>2</v>
      </c>
      <c r="DA60" s="34"/>
      <c r="DB60" s="29"/>
      <c r="DC60" s="29"/>
      <c r="DD60" s="29"/>
      <c r="DE60" s="33"/>
      <c r="DF60" s="33"/>
      <c r="DG60" s="34"/>
      <c r="DH60" s="34"/>
      <c r="DI60" s="34"/>
      <c r="DJ60" s="34"/>
      <c r="DK60" s="34"/>
      <c r="DL60" s="34"/>
      <c r="DM60" s="31">
        <f>COUNTIFS(DC$3:DC$38, "=Geo NA US")</f>
        <v>1</v>
      </c>
      <c r="DN60" s="34"/>
      <c r="DO60" s="29"/>
      <c r="DP60" s="29"/>
      <c r="DQ60" s="29"/>
      <c r="DR60" s="33"/>
      <c r="DS60" s="33"/>
      <c r="DT60" s="34"/>
      <c r="DU60" s="34"/>
      <c r="DV60" s="34"/>
      <c r="DW60" s="34"/>
      <c r="DX60" s="34"/>
      <c r="DY60" s="34"/>
      <c r="DZ60" s="31">
        <f>COUNTIFS(DP$3:DP$38, "=Geo NA US")</f>
        <v>1</v>
      </c>
      <c r="EA60" s="34"/>
      <c r="EB60" s="29"/>
      <c r="EC60" s="29"/>
      <c r="ED60" s="29"/>
      <c r="EE60" s="33"/>
      <c r="EF60" s="33"/>
      <c r="EG60" s="34"/>
      <c r="EH60" s="34"/>
      <c r="EI60" s="34"/>
      <c r="EJ60" s="34"/>
      <c r="EK60" s="34"/>
      <c r="EL60" s="34"/>
      <c r="EM60" s="31">
        <f>COUNTIFS(EC$3:EC$38, "=Geo NA US")</f>
        <v>1</v>
      </c>
      <c r="EN60" s="34"/>
      <c r="EO60" s="29"/>
      <c r="EP60" s="29"/>
      <c r="EQ60" s="29"/>
      <c r="ER60" s="33"/>
      <c r="ES60" s="33"/>
      <c r="ET60" s="34"/>
      <c r="EU60" s="34"/>
      <c r="EV60" s="34"/>
      <c r="EW60" s="34"/>
      <c r="EX60" s="34"/>
      <c r="EY60" s="34"/>
      <c r="EZ60" s="31">
        <f>COUNTIFS(EP$3:EP$38, "=Geo NA US")</f>
        <v>0</v>
      </c>
      <c r="FA60" s="34"/>
      <c r="FB60" s="36"/>
      <c r="FC60" s="48"/>
      <c r="FD60" s="48"/>
      <c r="FE60" s="48"/>
      <c r="FF60" s="48"/>
      <c r="FG60" s="48"/>
      <c r="FH60" s="48"/>
      <c r="FI60" s="48"/>
      <c r="FJ60" s="48"/>
      <c r="FK60" s="48"/>
      <c r="FL60" s="48"/>
      <c r="FM60" s="48"/>
      <c r="FN60" s="48"/>
      <c r="FO60" s="48"/>
      <c r="FP60" s="48"/>
      <c r="FQ60" s="48"/>
      <c r="FR60" s="48"/>
      <c r="FS60" s="48"/>
      <c r="FT60" s="48"/>
      <c r="FU60" s="48"/>
      <c r="FV60" s="48"/>
      <c r="FW60" s="36"/>
      <c r="FX60" s="29">
        <f t="shared" si="2"/>
        <v>1</v>
      </c>
      <c r="FY60" s="29">
        <f t="shared" si="3"/>
        <v>1</v>
      </c>
      <c r="FZ60" s="29">
        <f t="shared" si="4"/>
        <v>4</v>
      </c>
      <c r="GA60" s="29">
        <f t="shared" si="5"/>
        <v>2</v>
      </c>
      <c r="GB60" s="36"/>
      <c r="GC60" s="41">
        <f t="shared" si="0"/>
        <v>8</v>
      </c>
      <c r="GD60" s="36"/>
      <c r="GE60" s="36"/>
      <c r="GF60" s="36"/>
      <c r="GG60" s="36"/>
      <c r="GH60" s="36"/>
      <c r="GI60" s="36"/>
      <c r="GJ60" s="36"/>
      <c r="GK60" s="36"/>
      <c r="GL60" s="36"/>
      <c r="GM60" s="36"/>
      <c r="GN60" s="36"/>
      <c r="GO60" s="36"/>
      <c r="GP60" s="36"/>
      <c r="GQ60" s="36"/>
      <c r="GR60" s="36"/>
      <c r="GS60" s="36"/>
      <c r="GT60" s="36"/>
      <c r="GU60" s="36"/>
      <c r="GV60" s="36"/>
      <c r="GW60" s="36"/>
      <c r="GX60" s="36"/>
      <c r="GY60" s="36"/>
      <c r="GZ60" s="36"/>
      <c r="HA60" s="36"/>
      <c r="HB60" s="36"/>
      <c r="HC60" s="36"/>
      <c r="HD60" s="36"/>
      <c r="HE60" s="36"/>
      <c r="HF60" s="36"/>
      <c r="HG60" s="36"/>
      <c r="HH60" s="36"/>
      <c r="HI60" s="36"/>
      <c r="HJ60" s="36"/>
      <c r="HK60" s="36"/>
      <c r="HL60" s="36"/>
      <c r="HM60" s="36"/>
      <c r="HN60" s="36"/>
      <c r="HO60" s="36"/>
      <c r="HP60" s="36"/>
      <c r="HQ60" s="36"/>
      <c r="HR60" s="36"/>
      <c r="HS60" s="36"/>
      <c r="HT60" s="36"/>
      <c r="HU60" s="36"/>
      <c r="HV60" s="36"/>
      <c r="HW60" s="36"/>
      <c r="HX60" s="36"/>
      <c r="HY60" s="36"/>
      <c r="HZ60" s="36"/>
      <c r="IA60" s="36"/>
    </row>
    <row r="61" spans="1:235">
      <c r="A61" s="42" t="s">
        <v>1599</v>
      </c>
      <c r="B61" s="28"/>
      <c r="C61" s="29"/>
      <c r="D61" s="29"/>
      <c r="E61" s="28"/>
      <c r="F61" s="28"/>
      <c r="G61" s="28"/>
      <c r="H61" s="28"/>
      <c r="I61" s="28"/>
      <c r="J61" s="28"/>
      <c r="K61" s="28"/>
      <c r="L61" s="28"/>
      <c r="M61" s="31">
        <f>COUNTIFS(C$3:C$38, "=Geo WE")</f>
        <v>0</v>
      </c>
      <c r="N61" s="34"/>
      <c r="O61" s="29"/>
      <c r="P61" s="29"/>
      <c r="Q61" s="29"/>
      <c r="R61" s="33"/>
      <c r="S61" s="33"/>
      <c r="T61" s="34"/>
      <c r="U61" s="34"/>
      <c r="V61" s="34"/>
      <c r="W61" s="34"/>
      <c r="X61" s="34"/>
      <c r="Y61" s="34"/>
      <c r="Z61" s="31">
        <f>COUNTIFS(P$3:P$38, "=Geo WE")</f>
        <v>1</v>
      </c>
      <c r="AA61" s="34"/>
      <c r="AB61" s="29"/>
      <c r="AC61" s="29"/>
      <c r="AD61" s="29"/>
      <c r="AE61" s="33"/>
      <c r="AF61" s="33"/>
      <c r="AG61" s="34"/>
      <c r="AH61" s="34"/>
      <c r="AI61" s="34"/>
      <c r="AJ61" s="34"/>
      <c r="AK61" s="34"/>
      <c r="AL61" s="34"/>
      <c r="AM61" s="31">
        <f>COUNTIFS(AC$3:AC$38, "=Geo WE")</f>
        <v>0</v>
      </c>
      <c r="AN61" s="34"/>
      <c r="AO61" s="29"/>
      <c r="AP61" s="29"/>
      <c r="AQ61" s="29"/>
      <c r="AR61" s="33"/>
      <c r="AS61" s="33"/>
      <c r="AT61" s="34"/>
      <c r="AU61" s="34"/>
      <c r="AV61" s="34"/>
      <c r="AW61" s="34"/>
      <c r="AX61" s="34"/>
      <c r="AY61" s="34"/>
      <c r="AZ61" s="31">
        <f>COUNTIFS(AP$3:AP$38, "=Geo WE")</f>
        <v>1</v>
      </c>
      <c r="BA61" s="34"/>
      <c r="BB61" s="29"/>
      <c r="BC61" s="29"/>
      <c r="BD61" s="29"/>
      <c r="BE61" s="33"/>
      <c r="BF61" s="33"/>
      <c r="BG61" s="34"/>
      <c r="BH61" s="34"/>
      <c r="BI61" s="34"/>
      <c r="BJ61" s="34"/>
      <c r="BK61" s="34"/>
      <c r="BL61" s="34"/>
      <c r="BM61" s="31">
        <f>COUNTIFS(BC$3:BC$38, "=Geo WE")</f>
        <v>0</v>
      </c>
      <c r="BN61" s="34"/>
      <c r="BO61" s="29"/>
      <c r="BP61" s="29"/>
      <c r="BQ61" s="29"/>
      <c r="BR61" s="33"/>
      <c r="BS61" s="33"/>
      <c r="BT61" s="34"/>
      <c r="BU61" s="34"/>
      <c r="BV61" s="34"/>
      <c r="BW61" s="34"/>
      <c r="BX61" s="34"/>
      <c r="BY61" s="34"/>
      <c r="BZ61" s="31">
        <f>COUNTIFS(BP$3:BP$38, "=Geo WE")</f>
        <v>0</v>
      </c>
      <c r="CA61" s="34"/>
      <c r="CB61" s="29"/>
      <c r="CC61" s="29"/>
      <c r="CD61" s="29"/>
      <c r="CE61" s="33"/>
      <c r="CF61" s="33"/>
      <c r="CG61" s="34"/>
      <c r="CH61" s="34"/>
      <c r="CI61" s="34"/>
      <c r="CJ61" s="34"/>
      <c r="CK61" s="34"/>
      <c r="CL61" s="34"/>
      <c r="CM61" s="31">
        <f>COUNTIFS(CC$3:CC$38, "=Geo WE")</f>
        <v>0</v>
      </c>
      <c r="CN61" s="34"/>
      <c r="CO61" s="33"/>
      <c r="CP61" s="33"/>
      <c r="CQ61" s="29"/>
      <c r="CR61" s="33"/>
      <c r="CS61" s="33"/>
      <c r="CT61" s="34"/>
      <c r="CU61" s="34"/>
      <c r="CV61" s="34"/>
      <c r="CW61" s="34"/>
      <c r="CX61" s="34"/>
      <c r="CY61" s="34"/>
      <c r="CZ61" s="31">
        <f>COUNTIFS(CP$3:CP$37, "=Geo WE")</f>
        <v>1</v>
      </c>
      <c r="DA61" s="34"/>
      <c r="DB61" s="29"/>
      <c r="DC61" s="29"/>
      <c r="DD61" s="29"/>
      <c r="DE61" s="33"/>
      <c r="DF61" s="33"/>
      <c r="DG61" s="34"/>
      <c r="DH61" s="34"/>
      <c r="DI61" s="34"/>
      <c r="DJ61" s="34"/>
      <c r="DK61" s="34"/>
      <c r="DL61" s="34"/>
      <c r="DM61" s="31">
        <f>COUNTIFS(DC$3:DC$38, "=Geo WE")</f>
        <v>2</v>
      </c>
      <c r="DN61" s="34"/>
      <c r="DO61" s="29"/>
      <c r="DP61" s="29"/>
      <c r="DQ61" s="29"/>
      <c r="DR61" s="33"/>
      <c r="DS61" s="33"/>
      <c r="DT61" s="34"/>
      <c r="DU61" s="34"/>
      <c r="DV61" s="34"/>
      <c r="DW61" s="34"/>
      <c r="DX61" s="34"/>
      <c r="DY61" s="34"/>
      <c r="DZ61" s="31">
        <f>COUNTIFS(DP$3:DP$38, "=Geo WE")</f>
        <v>1</v>
      </c>
      <c r="EA61" s="34"/>
      <c r="EB61" s="29"/>
      <c r="EC61" s="29"/>
      <c r="ED61" s="29"/>
      <c r="EE61" s="33"/>
      <c r="EF61" s="33"/>
      <c r="EG61" s="34"/>
      <c r="EH61" s="34"/>
      <c r="EI61" s="34"/>
      <c r="EJ61" s="34"/>
      <c r="EK61" s="34"/>
      <c r="EL61" s="34"/>
      <c r="EM61" s="31">
        <f>COUNTIFS(EC$3:EC$38, "=Geo WE")</f>
        <v>1</v>
      </c>
      <c r="EN61" s="34"/>
      <c r="EO61" s="29"/>
      <c r="EP61" s="29"/>
      <c r="EQ61" s="29"/>
      <c r="ER61" s="33"/>
      <c r="ES61" s="33"/>
      <c r="ET61" s="34"/>
      <c r="EU61" s="34"/>
      <c r="EV61" s="34"/>
      <c r="EW61" s="34"/>
      <c r="EX61" s="34"/>
      <c r="EY61" s="34"/>
      <c r="EZ61" s="31">
        <f>COUNTIFS(EP$3:EP$38, "=Geo WE")</f>
        <v>0</v>
      </c>
      <c r="FA61" s="34"/>
      <c r="FB61" s="36"/>
      <c r="FC61" s="48"/>
      <c r="FD61" s="48"/>
      <c r="FE61" s="48"/>
      <c r="FF61" s="48"/>
      <c r="FG61" s="48"/>
      <c r="FH61" s="48"/>
      <c r="FI61" s="48"/>
      <c r="FJ61" s="48"/>
      <c r="FK61" s="48"/>
      <c r="FL61" s="48"/>
      <c r="FM61" s="48"/>
      <c r="FN61" s="48"/>
      <c r="FO61" s="48"/>
      <c r="FP61" s="48"/>
      <c r="FQ61" s="48"/>
      <c r="FR61" s="48"/>
      <c r="FS61" s="48"/>
      <c r="FT61" s="48"/>
      <c r="FU61" s="48"/>
      <c r="FV61" s="48"/>
      <c r="FW61" s="36"/>
      <c r="FX61" s="29">
        <f t="shared" si="2"/>
        <v>1</v>
      </c>
      <c r="FY61" s="29">
        <f t="shared" si="3"/>
        <v>1</v>
      </c>
      <c r="FZ61" s="29">
        <f t="shared" si="4"/>
        <v>3</v>
      </c>
      <c r="GA61" s="29">
        <f t="shared" si="5"/>
        <v>2</v>
      </c>
      <c r="GB61" s="36"/>
      <c r="GC61" s="41">
        <f t="shared" si="0"/>
        <v>7</v>
      </c>
      <c r="GD61" s="36"/>
      <c r="GE61" s="36"/>
      <c r="GF61" s="36"/>
      <c r="GG61" s="36"/>
      <c r="GH61" s="36"/>
      <c r="GI61" s="36"/>
      <c r="GJ61" s="36"/>
      <c r="GK61" s="36"/>
      <c r="GL61" s="36"/>
      <c r="GM61" s="36"/>
      <c r="GN61" s="36"/>
      <c r="GO61" s="36"/>
      <c r="GP61" s="36"/>
      <c r="GQ61" s="36"/>
      <c r="GR61" s="36"/>
      <c r="GS61" s="36"/>
      <c r="GT61" s="36"/>
      <c r="GU61" s="36"/>
      <c r="GV61" s="36"/>
      <c r="GW61" s="36"/>
      <c r="GX61" s="36"/>
      <c r="GY61" s="36"/>
      <c r="GZ61" s="36"/>
      <c r="HA61" s="36"/>
      <c r="HB61" s="36"/>
      <c r="HC61" s="36"/>
      <c r="HD61" s="36"/>
      <c r="HE61" s="36"/>
      <c r="HF61" s="36"/>
      <c r="HG61" s="36"/>
      <c r="HH61" s="36"/>
      <c r="HI61" s="36"/>
      <c r="HJ61" s="36"/>
      <c r="HK61" s="36"/>
      <c r="HL61" s="36"/>
      <c r="HM61" s="36"/>
      <c r="HN61" s="36"/>
      <c r="HO61" s="36"/>
      <c r="HP61" s="36"/>
      <c r="HQ61" s="36"/>
      <c r="HR61" s="36"/>
      <c r="HS61" s="36"/>
      <c r="HT61" s="36"/>
      <c r="HU61" s="36"/>
      <c r="HV61" s="36"/>
      <c r="HW61" s="36"/>
      <c r="HX61" s="36"/>
      <c r="HY61" s="36"/>
      <c r="HZ61" s="36"/>
      <c r="IA61" s="36"/>
    </row>
    <row r="62" spans="1:235">
      <c r="A62" s="28" t="s">
        <v>1600</v>
      </c>
      <c r="B62" s="28"/>
      <c r="C62" s="29"/>
      <c r="D62" s="29"/>
      <c r="E62" s="33"/>
      <c r="F62" s="33"/>
      <c r="G62" s="34"/>
      <c r="H62" s="34"/>
      <c r="I62" s="34"/>
      <c r="J62" s="34"/>
      <c r="K62" s="34"/>
      <c r="L62" s="28"/>
      <c r="M62" s="31">
        <f>COUNTIFS(B3:B38, "=CIC")</f>
        <v>7</v>
      </c>
      <c r="N62" s="34"/>
      <c r="O62" s="29"/>
      <c r="P62" s="29"/>
      <c r="Q62" s="29"/>
      <c r="R62" s="33"/>
      <c r="S62" s="33"/>
      <c r="T62" s="34"/>
      <c r="U62" s="34"/>
      <c r="V62" s="34"/>
      <c r="W62" s="34"/>
      <c r="X62" s="34"/>
      <c r="Y62" s="34"/>
      <c r="Z62" s="31">
        <f>COUNTIFS(O3:O38, "=CIC")</f>
        <v>11</v>
      </c>
      <c r="AA62" s="34"/>
      <c r="AB62" s="29"/>
      <c r="AC62" s="29"/>
      <c r="AD62" s="29"/>
      <c r="AE62" s="33"/>
      <c r="AF62" s="33"/>
      <c r="AG62" s="34"/>
      <c r="AH62" s="34"/>
      <c r="AI62" s="34"/>
      <c r="AJ62" s="34"/>
      <c r="AK62" s="34"/>
      <c r="AL62" s="34"/>
      <c r="AM62" s="31">
        <f>COUNTIFS(AB3:AB38, "=CIC")</f>
        <v>2</v>
      </c>
      <c r="AN62" s="34"/>
      <c r="AO62" s="29"/>
      <c r="AP62" s="29"/>
      <c r="AQ62" s="29"/>
      <c r="AR62" s="29"/>
      <c r="AS62" s="29"/>
      <c r="AT62" s="29"/>
      <c r="AU62" s="29"/>
      <c r="AV62" s="29"/>
      <c r="AW62" s="29"/>
      <c r="AX62" s="29"/>
      <c r="AY62" s="34"/>
      <c r="AZ62" s="31">
        <f>COUNTIFS(AO4:AO38, "=CIC")</f>
        <v>2</v>
      </c>
      <c r="BA62" s="34"/>
      <c r="BB62" s="29"/>
      <c r="BC62" s="29"/>
      <c r="BD62" s="29"/>
      <c r="BE62" s="29"/>
      <c r="BF62" s="29"/>
      <c r="BG62" s="29"/>
      <c r="BH62" s="29"/>
      <c r="BI62" s="29"/>
      <c r="BJ62" s="29"/>
      <c r="BK62" s="29"/>
      <c r="BL62" s="34"/>
      <c r="BM62" s="31">
        <f>COUNTIFS(BB3:BB38, "=CIC")</f>
        <v>5</v>
      </c>
      <c r="BN62" s="34"/>
      <c r="BO62" s="29"/>
      <c r="BP62" s="29"/>
      <c r="BQ62" s="29"/>
      <c r="BR62" s="29"/>
      <c r="BS62" s="29"/>
      <c r="BT62" s="29"/>
      <c r="BU62" s="29"/>
      <c r="BV62" s="29"/>
      <c r="BW62" s="29"/>
      <c r="BX62" s="29"/>
      <c r="BY62" s="34"/>
      <c r="BZ62" s="31">
        <f>COUNTIFS(BO3:BO38, "=CIC")</f>
        <v>3</v>
      </c>
      <c r="CA62" s="34"/>
      <c r="CB62" s="29"/>
      <c r="CC62" s="29"/>
      <c r="CD62" s="33"/>
      <c r="CE62" s="33"/>
      <c r="CF62" s="33"/>
      <c r="CG62" s="33"/>
      <c r="CH62" s="33"/>
      <c r="CI62" s="33"/>
      <c r="CJ62" s="33"/>
      <c r="CK62" s="33"/>
      <c r="CL62" s="34"/>
      <c r="CM62" s="31">
        <f>COUNTIFS(CB3:CB38, "=CIC")</f>
        <v>7</v>
      </c>
      <c r="CN62" s="34"/>
      <c r="CO62" s="33"/>
      <c r="CP62" s="33"/>
      <c r="CQ62" s="33"/>
      <c r="CR62" s="33"/>
      <c r="CS62" s="33"/>
      <c r="CT62" s="33"/>
      <c r="CU62" s="33"/>
      <c r="CV62" s="33"/>
      <c r="CW62" s="33"/>
      <c r="CX62" s="33"/>
      <c r="CY62" s="34"/>
      <c r="CZ62" s="31">
        <f>COUNTIFS(CO3:CO37, "=CIC")</f>
        <v>10</v>
      </c>
      <c r="DA62" s="34"/>
      <c r="DB62" s="33"/>
      <c r="DC62" s="33"/>
      <c r="DD62" s="33"/>
      <c r="DE62" s="33"/>
      <c r="DF62" s="33"/>
      <c r="DG62" s="33"/>
      <c r="DH62" s="33"/>
      <c r="DI62" s="33"/>
      <c r="DJ62" s="33"/>
      <c r="DK62" s="33"/>
      <c r="DL62" s="34"/>
      <c r="DM62" s="31">
        <f>COUNTIFS(DB3:DB38, "=CIC")</f>
        <v>11</v>
      </c>
      <c r="DN62" s="34"/>
      <c r="DO62" s="33"/>
      <c r="DP62" s="33"/>
      <c r="DQ62" s="33"/>
      <c r="DR62" s="33"/>
      <c r="DS62" s="33"/>
      <c r="DT62" s="33"/>
      <c r="DU62" s="33"/>
      <c r="DV62" s="33"/>
      <c r="DW62" s="33"/>
      <c r="DX62" s="34"/>
      <c r="DY62" s="34"/>
      <c r="DZ62" s="31">
        <f>COUNTIFS(DO4:DO31, "=CIC")</f>
        <v>10</v>
      </c>
      <c r="EA62" s="34"/>
      <c r="EB62" s="33"/>
      <c r="EC62" s="33"/>
      <c r="ED62" s="33"/>
      <c r="EE62" s="33"/>
      <c r="EF62" s="33"/>
      <c r="EG62" s="33"/>
      <c r="EH62" s="33"/>
      <c r="EI62" s="33"/>
      <c r="EJ62" s="33"/>
      <c r="EK62" s="33"/>
      <c r="EL62" s="34"/>
      <c r="EM62" s="31">
        <f>COUNTIFS(EB4:EB38, "=CIC")</f>
        <v>6</v>
      </c>
      <c r="EN62" s="34"/>
      <c r="EO62" s="33"/>
      <c r="EP62" s="33"/>
      <c r="EQ62" s="33"/>
      <c r="ER62" s="33"/>
      <c r="ES62" s="33"/>
      <c r="ET62" s="33"/>
      <c r="EU62" s="33"/>
      <c r="EV62" s="33"/>
      <c r="EW62" s="33"/>
      <c r="EX62" s="33"/>
      <c r="EY62" s="34"/>
      <c r="EZ62" s="31">
        <f>COUNTIFS(EO3:EO38, "=CIC")</f>
        <v>4</v>
      </c>
      <c r="FA62" s="34"/>
      <c r="FB62" s="36"/>
      <c r="FC62" s="48"/>
      <c r="FD62" s="48"/>
      <c r="FE62" s="48"/>
      <c r="FF62" s="48"/>
      <c r="FG62" s="48"/>
      <c r="FH62" s="48"/>
      <c r="FI62" s="48"/>
      <c r="FJ62" s="48"/>
      <c r="FK62" s="48"/>
      <c r="FL62" s="48"/>
      <c r="FM62" s="48"/>
      <c r="FN62" s="48"/>
      <c r="FO62" s="48"/>
      <c r="FP62" s="48"/>
      <c r="FQ62" s="48"/>
      <c r="FR62" s="48"/>
      <c r="FS62" s="48"/>
      <c r="FT62" s="48"/>
      <c r="FU62" s="48"/>
      <c r="FV62" s="48"/>
      <c r="FW62" s="36"/>
      <c r="FX62" s="29">
        <f t="shared" si="2"/>
        <v>20</v>
      </c>
      <c r="FY62" s="29">
        <f t="shared" si="3"/>
        <v>10</v>
      </c>
      <c r="FZ62" s="29">
        <f t="shared" si="4"/>
        <v>28</v>
      </c>
      <c r="GA62" s="29">
        <f>SUM(EZ62,DZ62,EM62)</f>
        <v>20</v>
      </c>
      <c r="GB62" s="36"/>
      <c r="GC62" s="43">
        <f t="shared" si="0"/>
        <v>78</v>
      </c>
      <c r="GD62" s="36"/>
      <c r="GE62" s="36"/>
      <c r="GF62" s="36"/>
      <c r="GG62" s="36"/>
      <c r="GH62" s="36"/>
      <c r="GI62" s="36"/>
      <c r="GJ62" s="36"/>
      <c r="GK62" s="36"/>
      <c r="GL62" s="36"/>
      <c r="GM62" s="36"/>
      <c r="GN62" s="36"/>
      <c r="GO62" s="36"/>
      <c r="GP62" s="36"/>
      <c r="GQ62" s="36"/>
      <c r="GR62" s="36"/>
      <c r="GS62" s="36"/>
      <c r="GT62" s="36"/>
      <c r="GU62" s="36"/>
      <c r="GV62" s="36"/>
      <c r="GW62" s="36"/>
      <c r="GX62" s="36"/>
      <c r="GY62" s="36"/>
      <c r="GZ62" s="36"/>
      <c r="HA62" s="36"/>
      <c r="HB62" s="36"/>
      <c r="HC62" s="36"/>
      <c r="HD62" s="36"/>
      <c r="HE62" s="36"/>
      <c r="HF62" s="36"/>
      <c r="HG62" s="36"/>
      <c r="HH62" s="36"/>
      <c r="HI62" s="36"/>
      <c r="HJ62" s="36"/>
      <c r="HK62" s="36"/>
      <c r="HL62" s="36"/>
      <c r="HM62" s="36"/>
      <c r="HN62" s="36"/>
      <c r="HO62" s="36"/>
      <c r="HP62" s="36"/>
      <c r="HQ62" s="36"/>
      <c r="HR62" s="36"/>
      <c r="HS62" s="36"/>
      <c r="HT62" s="36"/>
      <c r="HU62" s="36"/>
      <c r="HV62" s="36"/>
      <c r="HW62" s="36"/>
      <c r="HX62" s="36"/>
      <c r="HY62" s="36"/>
      <c r="HZ62" s="36"/>
      <c r="IA62" s="36"/>
    </row>
    <row r="63" spans="1:235">
      <c r="A63" s="28" t="s">
        <v>1601</v>
      </c>
      <c r="B63" s="28"/>
      <c r="C63" s="29"/>
      <c r="D63" s="29"/>
      <c r="E63" s="33"/>
      <c r="F63" s="33"/>
      <c r="G63" s="34"/>
      <c r="H63" s="34"/>
      <c r="I63" s="34"/>
      <c r="J63" s="34"/>
      <c r="K63" s="34"/>
      <c r="L63" s="34"/>
      <c r="M63" s="31">
        <f>COUNTIFS(B3:B38, "=Geo")</f>
        <v>1</v>
      </c>
      <c r="N63" s="34"/>
      <c r="O63" s="29"/>
      <c r="P63" s="29"/>
      <c r="Q63" s="29"/>
      <c r="R63" s="33"/>
      <c r="S63" s="33"/>
      <c r="T63" s="34"/>
      <c r="U63" s="34"/>
      <c r="V63" s="34"/>
      <c r="W63" s="34"/>
      <c r="X63" s="34"/>
      <c r="Y63" s="34"/>
      <c r="Z63" s="31">
        <f>COUNTIFS(O3:O38, "=Geo")</f>
        <v>3</v>
      </c>
      <c r="AA63" s="34"/>
      <c r="AB63" s="29"/>
      <c r="AC63" s="29"/>
      <c r="AD63" s="29"/>
      <c r="AE63" s="33"/>
      <c r="AF63" s="33"/>
      <c r="AG63" s="34"/>
      <c r="AH63" s="34"/>
      <c r="AI63" s="34"/>
      <c r="AJ63" s="34"/>
      <c r="AK63" s="34"/>
      <c r="AL63" s="34"/>
      <c r="AM63" s="31">
        <f>COUNTIFS(AB3:AB38, "=Geo")</f>
        <v>2</v>
      </c>
      <c r="AN63" s="34"/>
      <c r="AO63" s="29"/>
      <c r="AP63" s="29"/>
      <c r="AQ63" s="29"/>
      <c r="AR63" s="29"/>
      <c r="AS63" s="29"/>
      <c r="AT63" s="29"/>
      <c r="AU63" s="29"/>
      <c r="AV63" s="29"/>
      <c r="AW63" s="29"/>
      <c r="AX63" s="29"/>
      <c r="AY63" s="34"/>
      <c r="AZ63" s="31">
        <f>COUNTIFS(AO4:AO38, "=Geo")</f>
        <v>8</v>
      </c>
      <c r="BA63" s="34"/>
      <c r="BB63" s="29"/>
      <c r="BC63" s="29"/>
      <c r="BD63" s="29"/>
      <c r="BE63" s="29"/>
      <c r="BF63" s="29"/>
      <c r="BG63" s="29"/>
      <c r="BH63" s="29"/>
      <c r="BI63" s="29"/>
      <c r="BJ63" s="29"/>
      <c r="BK63" s="29"/>
      <c r="BL63" s="34"/>
      <c r="BM63" s="31">
        <f>COUNTIFS(BB3:BB38, "=Geo")</f>
        <v>1</v>
      </c>
      <c r="BN63" s="34"/>
      <c r="BO63" s="29"/>
      <c r="BP63" s="29"/>
      <c r="BQ63" s="29"/>
      <c r="BR63" s="29"/>
      <c r="BS63" s="29"/>
      <c r="BT63" s="29"/>
      <c r="BU63" s="29"/>
      <c r="BV63" s="29"/>
      <c r="BW63" s="29"/>
      <c r="BX63" s="29"/>
      <c r="BY63" s="34"/>
      <c r="BZ63" s="31">
        <f>COUNTIFS(BO3:BO38, "=Geo")</f>
        <v>0</v>
      </c>
      <c r="CA63" s="34"/>
      <c r="CB63" s="29"/>
      <c r="CC63" s="29"/>
      <c r="CD63" s="33"/>
      <c r="CE63" s="33"/>
      <c r="CF63" s="33"/>
      <c r="CG63" s="33"/>
      <c r="CH63" s="33"/>
      <c r="CI63" s="33"/>
      <c r="CJ63" s="33"/>
      <c r="CK63" s="33"/>
      <c r="CL63" s="34"/>
      <c r="CM63" s="31">
        <f>COUNTIFS(CB3:CB38, "=Geo")</f>
        <v>4</v>
      </c>
      <c r="CN63" s="34"/>
      <c r="CO63" s="33"/>
      <c r="CP63" s="33"/>
      <c r="CQ63" s="33"/>
      <c r="CR63" s="33"/>
      <c r="CS63" s="33"/>
      <c r="CT63" s="33"/>
      <c r="CU63" s="33"/>
      <c r="CV63" s="33"/>
      <c r="CW63" s="33"/>
      <c r="CX63" s="33"/>
      <c r="CY63" s="34"/>
      <c r="CZ63" s="31">
        <f>COUNTIFS(CO3:CO37, "=Geo")</f>
        <v>7</v>
      </c>
      <c r="DA63" s="34"/>
      <c r="DB63" s="33"/>
      <c r="DC63" s="33"/>
      <c r="DD63" s="33"/>
      <c r="DE63" s="33"/>
      <c r="DF63" s="33"/>
      <c r="DG63" s="33"/>
      <c r="DH63" s="33"/>
      <c r="DI63" s="33"/>
      <c r="DJ63" s="33"/>
      <c r="DK63" s="33"/>
      <c r="DL63" s="34"/>
      <c r="DM63" s="31">
        <f>COUNTIFS(DB3:DB38, "=Geo")</f>
        <v>4</v>
      </c>
      <c r="DN63" s="34"/>
      <c r="DO63" s="33"/>
      <c r="DP63" s="33"/>
      <c r="DQ63" s="33"/>
      <c r="DR63" s="33"/>
      <c r="DS63" s="33"/>
      <c r="DT63" s="33"/>
      <c r="DU63" s="33"/>
      <c r="DV63" s="33"/>
      <c r="DW63" s="33"/>
      <c r="DX63" s="34"/>
      <c r="DY63" s="34"/>
      <c r="DZ63" s="31">
        <f>COUNTIFS(DO4:DO31, "=Geo")</f>
        <v>5</v>
      </c>
      <c r="EA63" s="34"/>
      <c r="EB63" s="33"/>
      <c r="EC63" s="33"/>
      <c r="ED63" s="33"/>
      <c r="EE63" s="33"/>
      <c r="EF63" s="33"/>
      <c r="EG63" s="33"/>
      <c r="EH63" s="33"/>
      <c r="EI63" s="33"/>
      <c r="EJ63" s="33"/>
      <c r="EK63" s="33"/>
      <c r="EL63" s="34"/>
      <c r="EM63" s="31">
        <f>COUNTIFS(EB4:EB39, "=Geo")</f>
        <v>2</v>
      </c>
      <c r="EN63" s="34"/>
      <c r="EO63" s="33"/>
      <c r="EP63" s="33"/>
      <c r="EQ63" s="33"/>
      <c r="ER63" s="33"/>
      <c r="ES63" s="33"/>
      <c r="ET63" s="33"/>
      <c r="EU63" s="33"/>
      <c r="EV63" s="33"/>
      <c r="EW63" s="33"/>
      <c r="EX63" s="33"/>
      <c r="EY63" s="34"/>
      <c r="EZ63" s="31">
        <f>COUNTIFS(EO3:EO38, "=Geo")</f>
        <v>0</v>
      </c>
      <c r="FA63" s="34"/>
      <c r="FB63" s="36"/>
      <c r="FC63" s="48"/>
      <c r="FD63" s="48"/>
      <c r="FE63" s="48"/>
      <c r="FF63" s="48"/>
      <c r="FG63" s="48"/>
      <c r="FH63" s="48"/>
      <c r="FI63" s="48"/>
      <c r="FJ63" s="48"/>
      <c r="FK63" s="48"/>
      <c r="FL63" s="48"/>
      <c r="FM63" s="48"/>
      <c r="FN63" s="48"/>
      <c r="FO63" s="48"/>
      <c r="FP63" s="48"/>
      <c r="FQ63" s="48"/>
      <c r="FR63" s="48"/>
      <c r="FS63" s="48"/>
      <c r="FT63" s="48"/>
      <c r="FU63" s="48"/>
      <c r="FV63" s="48"/>
      <c r="FW63" s="36"/>
      <c r="FX63" s="29">
        <f t="shared" si="2"/>
        <v>6</v>
      </c>
      <c r="FY63" s="29">
        <f t="shared" si="3"/>
        <v>9</v>
      </c>
      <c r="FZ63" s="29">
        <f t="shared" si="4"/>
        <v>15</v>
      </c>
      <c r="GA63" s="29">
        <f>SUM(EZ63,DZ63,EM63)</f>
        <v>7</v>
      </c>
      <c r="GB63" s="36"/>
      <c r="GC63" s="43">
        <f t="shared" si="0"/>
        <v>37</v>
      </c>
      <c r="GD63" s="36"/>
      <c r="GE63" s="36"/>
      <c r="GF63" s="36"/>
      <c r="GG63" s="36"/>
      <c r="GH63" s="36"/>
      <c r="GI63" s="36"/>
      <c r="GJ63" s="36"/>
      <c r="GK63" s="36"/>
      <c r="GL63" s="36"/>
      <c r="GM63" s="36"/>
      <c r="GN63" s="36"/>
      <c r="GO63" s="36"/>
      <c r="GP63" s="36"/>
      <c r="GQ63" s="36"/>
      <c r="GR63" s="36"/>
      <c r="GS63" s="36"/>
      <c r="GT63" s="36"/>
      <c r="GU63" s="36"/>
      <c r="GV63" s="36"/>
      <c r="GW63" s="36"/>
      <c r="GX63" s="36"/>
      <c r="GY63" s="36"/>
      <c r="GZ63" s="36"/>
      <c r="HA63" s="36"/>
      <c r="HB63" s="36"/>
      <c r="HC63" s="36"/>
      <c r="HD63" s="36"/>
      <c r="HE63" s="36"/>
      <c r="HF63" s="36"/>
      <c r="HG63" s="36"/>
      <c r="HH63" s="36"/>
      <c r="HI63" s="36"/>
      <c r="HJ63" s="36"/>
      <c r="HK63" s="36"/>
      <c r="HL63" s="36"/>
      <c r="HM63" s="36"/>
      <c r="HN63" s="36"/>
      <c r="HO63" s="36"/>
      <c r="HP63" s="36"/>
      <c r="HQ63" s="36"/>
      <c r="HR63" s="36"/>
      <c r="HS63" s="36"/>
      <c r="HT63" s="36"/>
      <c r="HU63" s="36"/>
      <c r="HV63" s="36"/>
      <c r="HW63" s="36"/>
      <c r="HX63" s="36"/>
      <c r="HY63" s="36"/>
      <c r="HZ63" s="36"/>
      <c r="IA63" s="36"/>
    </row>
    <row r="64" spans="1:235">
      <c r="A64" s="28" t="s">
        <v>1602</v>
      </c>
      <c r="B64" s="28"/>
      <c r="C64" s="29"/>
      <c r="D64" s="29"/>
      <c r="E64" s="33"/>
      <c r="F64" s="33"/>
      <c r="G64" s="34"/>
      <c r="H64" s="34"/>
      <c r="I64" s="34"/>
      <c r="J64" s="34"/>
      <c r="K64" s="34"/>
      <c r="L64" s="34"/>
      <c r="M64" s="29">
        <f>SUM(M62:M63)</f>
        <v>8</v>
      </c>
      <c r="N64" s="29"/>
      <c r="O64" s="29"/>
      <c r="P64" s="29"/>
      <c r="Q64" s="29"/>
      <c r="R64" s="33"/>
      <c r="S64" s="33"/>
      <c r="T64" s="34"/>
      <c r="U64" s="34"/>
      <c r="V64" s="34"/>
      <c r="W64" s="34"/>
      <c r="X64" s="34"/>
      <c r="Y64" s="34"/>
      <c r="Z64" s="29">
        <f>SUM(Z62:Z63)</f>
        <v>14</v>
      </c>
      <c r="AA64" s="29"/>
      <c r="AB64" s="29"/>
      <c r="AC64" s="29"/>
      <c r="AD64" s="29"/>
      <c r="AE64" s="33"/>
      <c r="AF64" s="33"/>
      <c r="AG64" s="34"/>
      <c r="AH64" s="34"/>
      <c r="AI64" s="34"/>
      <c r="AJ64" s="34"/>
      <c r="AK64" s="34"/>
      <c r="AL64" s="34"/>
      <c r="AM64" s="29">
        <f>SUM(AM62:AM63)</f>
        <v>4</v>
      </c>
      <c r="AN64" s="29"/>
      <c r="AO64" s="29"/>
      <c r="AP64" s="29"/>
      <c r="AQ64" s="29"/>
      <c r="AR64" s="29"/>
      <c r="AS64" s="29"/>
      <c r="AT64" s="29"/>
      <c r="AU64" s="29"/>
      <c r="AV64" s="29"/>
      <c r="AW64" s="29"/>
      <c r="AX64" s="29"/>
      <c r="AY64" s="34"/>
      <c r="AZ64" s="29">
        <f>SUM(AZ62:AZ63)</f>
        <v>10</v>
      </c>
      <c r="BA64" s="29"/>
      <c r="BB64" s="29"/>
      <c r="BC64" s="29"/>
      <c r="BD64" s="29"/>
      <c r="BE64" s="29"/>
      <c r="BF64" s="29"/>
      <c r="BG64" s="29"/>
      <c r="BH64" s="29"/>
      <c r="BI64" s="29"/>
      <c r="BJ64" s="29"/>
      <c r="BK64" s="29"/>
      <c r="BL64" s="34"/>
      <c r="BM64" s="29">
        <f>SUM(BM62:BM63)</f>
        <v>6</v>
      </c>
      <c r="BN64" s="29"/>
      <c r="BO64" s="29"/>
      <c r="BP64" s="29"/>
      <c r="BQ64" s="29"/>
      <c r="BR64" s="29"/>
      <c r="BS64" s="29"/>
      <c r="BT64" s="29"/>
      <c r="BU64" s="29"/>
      <c r="BV64" s="29"/>
      <c r="BW64" s="29"/>
      <c r="BX64" s="29"/>
      <c r="BY64" s="34"/>
      <c r="BZ64" s="29">
        <f>SUM(BZ62:BZ63)</f>
        <v>3</v>
      </c>
      <c r="CA64" s="29"/>
      <c r="CB64" s="29"/>
      <c r="CC64" s="29"/>
      <c r="CD64" s="33"/>
      <c r="CE64" s="33"/>
      <c r="CF64" s="33"/>
      <c r="CG64" s="33"/>
      <c r="CH64" s="33"/>
      <c r="CI64" s="33"/>
      <c r="CJ64" s="33"/>
      <c r="CK64" s="33"/>
      <c r="CL64" s="34"/>
      <c r="CM64" s="29">
        <f>SUM(CM62:CM63)</f>
        <v>11</v>
      </c>
      <c r="CN64" s="29"/>
      <c r="CO64" s="33"/>
      <c r="CP64" s="33"/>
      <c r="CQ64" s="33"/>
      <c r="CR64" s="33"/>
      <c r="CS64" s="33"/>
      <c r="CT64" s="33"/>
      <c r="CU64" s="33"/>
      <c r="CV64" s="33"/>
      <c r="CW64" s="33"/>
      <c r="CX64" s="33"/>
      <c r="CY64" s="34"/>
      <c r="CZ64" s="29">
        <f>SUM(CZ62:CZ63)</f>
        <v>17</v>
      </c>
      <c r="DA64" s="29"/>
      <c r="DB64" s="33"/>
      <c r="DC64" s="33"/>
      <c r="DD64" s="33"/>
      <c r="DE64" s="33"/>
      <c r="DF64" s="33"/>
      <c r="DG64" s="33"/>
      <c r="DH64" s="33"/>
      <c r="DI64" s="33"/>
      <c r="DJ64" s="33"/>
      <c r="DK64" s="33"/>
      <c r="DL64" s="34"/>
      <c r="DM64" s="29">
        <f>SUM(DM62:DM63)</f>
        <v>15</v>
      </c>
      <c r="DN64" s="29"/>
      <c r="DO64" s="33"/>
      <c r="DP64" s="33"/>
      <c r="DQ64" s="33"/>
      <c r="DR64" s="33"/>
      <c r="DS64" s="33"/>
      <c r="DT64" s="33"/>
      <c r="DU64" s="33"/>
      <c r="DV64" s="33"/>
      <c r="DW64" s="33"/>
      <c r="DX64" s="34"/>
      <c r="DY64" s="34"/>
      <c r="DZ64" s="29">
        <f>SUM(DZ62:DZ63)</f>
        <v>15</v>
      </c>
      <c r="EA64" s="29"/>
      <c r="EB64" s="33"/>
      <c r="EC64" s="33"/>
      <c r="ED64" s="33"/>
      <c r="EE64" s="33"/>
      <c r="EF64" s="33"/>
      <c r="EG64" s="33"/>
      <c r="EH64" s="33"/>
      <c r="EI64" s="33"/>
      <c r="EJ64" s="33"/>
      <c r="EK64" s="33"/>
      <c r="EL64" s="34"/>
      <c r="EM64" s="29">
        <f>SUM(EM62:EM63)</f>
        <v>8</v>
      </c>
      <c r="EN64" s="29"/>
      <c r="EO64" s="33"/>
      <c r="EP64" s="33"/>
      <c r="EQ64" s="33"/>
      <c r="ER64" s="33"/>
      <c r="ES64" s="33"/>
      <c r="ET64" s="33"/>
      <c r="EU64" s="33"/>
      <c r="EV64" s="33"/>
      <c r="EW64" s="33"/>
      <c r="EX64" s="33"/>
      <c r="EY64" s="34"/>
      <c r="EZ64" s="29">
        <f>SUM(EZ62:EZ63)</f>
        <v>4</v>
      </c>
      <c r="FA64" s="29"/>
      <c r="FB64" s="36"/>
      <c r="FC64" s="48"/>
      <c r="FD64" s="48"/>
      <c r="FE64" s="48"/>
      <c r="FF64" s="48"/>
      <c r="FG64" s="48"/>
      <c r="FH64" s="48"/>
      <c r="FI64" s="48"/>
      <c r="FJ64" s="48"/>
      <c r="FK64" s="48"/>
      <c r="FL64" s="48"/>
      <c r="FM64" s="48"/>
      <c r="FN64" s="48"/>
      <c r="FO64" s="48"/>
      <c r="FP64" s="48"/>
      <c r="FQ64" s="48"/>
      <c r="FR64" s="48"/>
      <c r="FS64" s="48"/>
      <c r="FT64" s="48"/>
      <c r="FU64" s="48"/>
      <c r="FV64" s="48"/>
      <c r="FW64" s="36"/>
      <c r="FX64" s="29">
        <f t="shared" si="2"/>
        <v>26</v>
      </c>
      <c r="FY64" s="29">
        <f t="shared" si="3"/>
        <v>19</v>
      </c>
      <c r="FZ64" s="29">
        <f t="shared" si="4"/>
        <v>43</v>
      </c>
      <c r="GA64" s="29">
        <f>SUM(EZ64,DZ64,EM64)</f>
        <v>27</v>
      </c>
      <c r="GB64" s="36"/>
      <c r="GC64" s="43">
        <f t="shared" si="0"/>
        <v>115</v>
      </c>
      <c r="GD64" s="36"/>
      <c r="GE64" s="36"/>
      <c r="GF64" s="36"/>
      <c r="GG64" s="36"/>
      <c r="GH64" s="36"/>
      <c r="GI64" s="36"/>
      <c r="GJ64" s="36"/>
      <c r="GK64" s="36"/>
      <c r="GL64" s="36"/>
      <c r="GM64" s="36"/>
      <c r="GN64" s="36"/>
      <c r="GO64" s="36"/>
      <c r="GP64" s="36"/>
      <c r="GQ64" s="36"/>
      <c r="GR64" s="36"/>
      <c r="GS64" s="36"/>
      <c r="GT64" s="36"/>
      <c r="GU64" s="36"/>
      <c r="GV64" s="36"/>
      <c r="GW64" s="36"/>
      <c r="GX64" s="36"/>
      <c r="GY64" s="36"/>
      <c r="GZ64" s="36"/>
      <c r="HA64" s="36"/>
      <c r="HB64" s="36"/>
      <c r="HC64" s="36"/>
      <c r="HD64" s="36"/>
      <c r="HE64" s="36"/>
      <c r="HF64" s="36"/>
      <c r="HG64" s="36"/>
      <c r="HH64" s="36"/>
      <c r="HI64" s="36"/>
      <c r="HJ64" s="36"/>
      <c r="HK64" s="36"/>
      <c r="HL64" s="36"/>
      <c r="HM64" s="36"/>
      <c r="HN64" s="36"/>
      <c r="HO64" s="36"/>
      <c r="HP64" s="36"/>
      <c r="HQ64" s="36"/>
      <c r="HR64" s="36"/>
      <c r="HS64" s="36"/>
      <c r="HT64" s="36"/>
      <c r="HU64" s="36"/>
      <c r="HV64" s="36"/>
      <c r="HW64" s="36"/>
      <c r="HX64" s="36"/>
      <c r="HY64" s="36"/>
      <c r="HZ64" s="36"/>
      <c r="IA64" s="36"/>
    </row>
    <row r="65" spans="1:235" s="29" customFormat="1">
      <c r="A65" s="28" t="s">
        <v>1603</v>
      </c>
      <c r="B65" s="28"/>
      <c r="E65" s="32" t="s">
        <v>383</v>
      </c>
      <c r="F65" s="32" t="s">
        <v>383</v>
      </c>
      <c r="G65" s="31" t="e">
        <f>SUMIF(G$4:G$38,"Complete",M$4:M$38)</f>
        <v>#REF!</v>
      </c>
      <c r="H65" s="31" t="e">
        <f>SUMIF(H$4:H$38,"Complete",M$4:M$38)</f>
        <v>#REF!</v>
      </c>
      <c r="I65" s="31" t="e">
        <f>SUMIF(I$4:I$38,"Complete",M$4:M$38)</f>
        <v>#REF!</v>
      </c>
      <c r="J65" s="31"/>
      <c r="K65" s="31">
        <f>SUMIF(K$4:K$38,"Complete",M$4:M$38)</f>
        <v>0</v>
      </c>
      <c r="L65" s="31">
        <f>SUMIF(L$4:L$38,"Complete",M$4:M$38)</f>
        <v>0</v>
      </c>
      <c r="Q65" s="30"/>
      <c r="R65" s="32" t="s">
        <v>383</v>
      </c>
      <c r="S65" s="32" t="s">
        <v>383</v>
      </c>
      <c r="T65" s="31">
        <f>SUMIF(T$4:T$38,"Complete",Z$4:Z$38)</f>
        <v>402</v>
      </c>
      <c r="U65" s="31">
        <f>SUMIF(U$4:U$38,"Complete",Z$4:Z$38)</f>
        <v>385</v>
      </c>
      <c r="V65" s="31">
        <f>SUMIF(V$4:V$38,"Complete",Z$4:Z$38)</f>
        <v>402</v>
      </c>
      <c r="W65" s="31"/>
      <c r="X65" s="31">
        <f>SUMIF(X$4:X$38,"Complete",Z$4:Z$38)</f>
        <v>0</v>
      </c>
      <c r="Y65" s="31">
        <f>SUMIF(Y$4:Y$38,"Complete",Z$4:Z$38)</f>
        <v>0</v>
      </c>
      <c r="AE65" s="32" t="s">
        <v>383</v>
      </c>
      <c r="AF65" s="32" t="s">
        <v>383</v>
      </c>
      <c r="AG65" s="31">
        <f>SUMIF(AG$4:AG$38,"Complete",AM$4:AM$38)</f>
        <v>97</v>
      </c>
      <c r="AH65" s="31">
        <f>SUMIF(AH$4:AH$38,"Complete",AM$4:AM$38)</f>
        <v>97</v>
      </c>
      <c r="AI65" s="31">
        <f>SUMIF(AI$4:AI$38,"Complete",AM$4:AM$38)</f>
        <v>97</v>
      </c>
      <c r="AJ65" s="31"/>
      <c r="AK65" s="31">
        <f>SUMIF(AK$4:AK$38,"Complete",AM$4:AM$38)</f>
        <v>0</v>
      </c>
      <c r="AL65" s="31">
        <f>SUMIF(AL$4:AL$38,"Complete",AM$4:AM$38)</f>
        <v>0</v>
      </c>
      <c r="AR65" s="32" t="s">
        <v>383</v>
      </c>
      <c r="AS65" s="32" t="s">
        <v>383</v>
      </c>
      <c r="AT65" s="31">
        <f>SUMIF(AT$4:AT$38,"Complete",AZ$4:AZ$38)</f>
        <v>628</v>
      </c>
      <c r="AU65" s="31">
        <f>SUMIF(AU$4:AU$38,"Complete",AZ$4:AZ$38)</f>
        <v>628</v>
      </c>
      <c r="AV65" s="31">
        <f>SUMIF(AV$4:AV$38,"Complete",AZ$4:AZ$38)</f>
        <v>628</v>
      </c>
      <c r="AW65" s="31"/>
      <c r="AX65" s="31">
        <f>SUMIF(AX$4:AX$38,"Complete",AZ$4:AZ$38)</f>
        <v>0</v>
      </c>
      <c r="AY65" s="31">
        <f>SUMIF(AY$4:AY$38,"Complete",AZ$4:AZ$38)</f>
        <v>0</v>
      </c>
      <c r="BD65" s="30"/>
      <c r="BE65" s="32" t="s">
        <v>383</v>
      </c>
      <c r="BF65" s="32" t="s">
        <v>383</v>
      </c>
      <c r="BG65" s="31">
        <f>SUMIF(BG$4:BG$38,"Complete",BM$4:BM$38)</f>
        <v>107</v>
      </c>
      <c r="BH65" s="31">
        <f>SUMIF(BH$4:BH$38,"Complete",BM$4:BM$38)</f>
        <v>107</v>
      </c>
      <c r="BI65" s="31">
        <f>SUMIF(BI$4:BI$38,"Complete",BM$4:BM$38)</f>
        <v>107</v>
      </c>
      <c r="BJ65" s="31"/>
      <c r="BK65" s="31">
        <f>SUMIF(BK$4:BK$38,"Complete",BM$4:BM$38)</f>
        <v>0</v>
      </c>
      <c r="BL65" s="31">
        <f>SUMIF(BL$4:BL$38,"Complete",BM$4:BM$38)</f>
        <v>0</v>
      </c>
      <c r="BR65" s="32" t="s">
        <v>383</v>
      </c>
      <c r="BS65" s="32" t="s">
        <v>383</v>
      </c>
      <c r="BT65" s="31">
        <f>SUMIF(BT$4:BT$38,"Complete",BZ$4:BZ$38)</f>
        <v>70</v>
      </c>
      <c r="BU65" s="31">
        <f>SUMIF(BU$4:BU$38,"Complete",BZ$4:BZ$38)</f>
        <v>70</v>
      </c>
      <c r="BV65" s="31">
        <f>SUMIF(BV$4:BV$38,"Complete",BZ$4:BZ$38)</f>
        <v>70</v>
      </c>
      <c r="BW65" s="31"/>
      <c r="BX65" s="31">
        <f>SUMIF(BX$4:BX$38,"Complete",BZ$4:BZ$38)</f>
        <v>0</v>
      </c>
      <c r="BY65" s="31">
        <f>SUMIF(BY$4:BY$38,"Complete",BZ$4:BZ$38)</f>
        <v>0</v>
      </c>
      <c r="CE65" s="32" t="s">
        <v>383</v>
      </c>
      <c r="CF65" s="32" t="s">
        <v>383</v>
      </c>
      <c r="CG65" s="31">
        <f>SUMIF(CG$4:CG$38,"Complete",CM$4:CM$38)</f>
        <v>211</v>
      </c>
      <c r="CH65" s="31">
        <f>SUMIF(CH$4:CH$38,"Complete",CM$4:CM$38)</f>
        <v>211</v>
      </c>
      <c r="CI65" s="31">
        <f>SUMIF(CI$4:CI$38,"Complete",CM$4:CM$38)</f>
        <v>162</v>
      </c>
      <c r="CJ65" s="31"/>
      <c r="CK65" s="31">
        <f>SUMIF(CK$4:CK$38,"Complete",CM$4:CM$38)</f>
        <v>0</v>
      </c>
      <c r="CL65" s="31">
        <f>SUMIF(CL$4:CL$38,"Complete",CM$4:CM$38)</f>
        <v>0</v>
      </c>
      <c r="CQ65" s="30"/>
      <c r="CR65" s="32" t="s">
        <v>383</v>
      </c>
      <c r="CS65" s="32" t="s">
        <v>383</v>
      </c>
      <c r="CT65" s="31">
        <f>SUMIF(CT$4:CT$37,"Complete",CZ$4:CZ$37)</f>
        <v>244</v>
      </c>
      <c r="CU65" s="31">
        <f>SUMIF(CU$4:CU$37,"Complete",CZ$4:CZ$37)</f>
        <v>244</v>
      </c>
      <c r="CV65" s="31">
        <f>SUMIF(CV$4:CV$37,"Complete",CZ$4:CZ$37)</f>
        <v>55</v>
      </c>
      <c r="CW65" s="31"/>
      <c r="CX65" s="31">
        <f>SUMIF(CX$4:CX$37,"Complete",CZ$4:CZ$37)</f>
        <v>0</v>
      </c>
      <c r="CY65" s="31">
        <f>SUMIF(CY$4:CY$37,"Complete",CZ$4:CZ$37)</f>
        <v>0</v>
      </c>
      <c r="DE65" s="32" t="s">
        <v>383</v>
      </c>
      <c r="DF65" s="32" t="s">
        <v>383</v>
      </c>
      <c r="DG65" s="31">
        <f>SUMIF(DG$4:DG$38,"Complete",DM$4:DM$38)</f>
        <v>241</v>
      </c>
      <c r="DH65" s="31">
        <f>SUMIF(DH$4:DH$38,"Complete",DM$4:DM$38)</f>
        <v>218</v>
      </c>
      <c r="DI65" s="31">
        <f>SUMIF(DI$4:DI$38,"Complete",DM$4:DM$38)</f>
        <v>36</v>
      </c>
      <c r="DJ65" s="31"/>
      <c r="DK65" s="31">
        <f>SUMIF(DK$4:DK$38,"Complete",DM$4:DM$38)</f>
        <v>0</v>
      </c>
      <c r="DL65" s="31">
        <f>SUMIF(DL$4:DL$38,"Complete",DM$4:DM$38)</f>
        <v>0</v>
      </c>
      <c r="DR65" s="32" t="s">
        <v>383</v>
      </c>
      <c r="DS65" s="32" t="s">
        <v>383</v>
      </c>
      <c r="DT65" s="31">
        <f>SUMIF(DT$4:DT$38,"Complete",DZ$4:DZ$38)</f>
        <v>498</v>
      </c>
      <c r="DU65" s="31">
        <f>SUMIF(DU$4:DU$38,"Complete",DZ$4:DZ$38)</f>
        <v>498</v>
      </c>
      <c r="DV65" s="31">
        <f>SUMIF(DV$4:DV$38,"Complete",DZ$4:DZ$38)</f>
        <v>0</v>
      </c>
      <c r="DW65" s="31"/>
      <c r="DX65" s="31">
        <f>SUMIF(DX$4:DX$38,"Complete",DZ$4:DZ$38)</f>
        <v>0</v>
      </c>
      <c r="DY65" s="31">
        <f>SUMIF(DY$4:DY$38,"Complete",DZ$4:DZ$38)</f>
        <v>0</v>
      </c>
      <c r="ED65" s="30"/>
      <c r="EE65" s="32" t="s">
        <v>383</v>
      </c>
      <c r="EF65" s="32" t="s">
        <v>383</v>
      </c>
      <c r="EG65" s="31">
        <f>SUMIF(EG$4:EG$38,"Complete",EM$4:EM$38)</f>
        <v>100</v>
      </c>
      <c r="EH65" s="31">
        <f>SUMIF(EH$4:EH$38,"Complete",EM$4:EM$38)</f>
        <v>100</v>
      </c>
      <c r="EI65" s="31">
        <f>SUMIF(EI$4:EI$38,"Complete",EM$4:EM$38)</f>
        <v>0</v>
      </c>
      <c r="EJ65" s="31"/>
      <c r="EK65" s="31">
        <f>SUMIF(EK$4:EK$38,"Complete",EM$4:EM$38)</f>
        <v>0</v>
      </c>
      <c r="EL65" s="31">
        <f>SUMIF(EL$4:EL$38,"Complete",EM$4:EM$38)</f>
        <v>0</v>
      </c>
      <c r="ER65" s="32" t="s">
        <v>383</v>
      </c>
      <c r="ES65" s="32" t="s">
        <v>383</v>
      </c>
      <c r="ET65" s="31">
        <f>SUMIF(ET$4:ET$38,"Complete",EZ$4:EZ$38)</f>
        <v>238</v>
      </c>
      <c r="EU65" s="31">
        <f>SUMIF(EU$4:EU$38,"Complete",EZ$4:EZ$38)</f>
        <v>0</v>
      </c>
      <c r="EV65" s="31">
        <f>SUMIF(EV$4:EV$38,"Complete",EZ$4:EZ$38)</f>
        <v>0</v>
      </c>
      <c r="EW65" s="31"/>
      <c r="EX65" s="31">
        <f>SUMIF(EX$4:EX$38,"Complete",EZ$4:EZ$38)</f>
        <v>0</v>
      </c>
      <c r="EY65" s="31">
        <f>SUMIF(EY$4:EY$38,"Complete",EZ$4:EZ$38)</f>
        <v>0</v>
      </c>
      <c r="FB65" s="35">
        <f>18+5</f>
        <v>23</v>
      </c>
      <c r="FC65" s="45" t="e">
        <f>SUM(G$65, T$65, AG$65)</f>
        <v>#REF!</v>
      </c>
      <c r="FD65" s="45" t="e">
        <f>SUM(H$65, U$65, AH$65)</f>
        <v>#REF!</v>
      </c>
      <c r="FE65" s="45" t="e">
        <f>SUM(I$65, V$65, AI$65)</f>
        <v>#REF!</v>
      </c>
      <c r="FF65" s="45">
        <f>SUM(K$65, X$65, AK$65)</f>
        <v>0</v>
      </c>
      <c r="FG65" s="45">
        <f>SUM(L$65, Y$65, AL$65)</f>
        <v>0</v>
      </c>
      <c r="FH65" s="47">
        <f>SUM(AT$65,BG$65,BT$65)</f>
        <v>805</v>
      </c>
      <c r="FI65" s="47">
        <f>SUM(AU$65,BH$65,BU$65)</f>
        <v>805</v>
      </c>
      <c r="FJ65" s="47">
        <f>SUM(AV$65,BI$65,BV$65)</f>
        <v>805</v>
      </c>
      <c r="FK65" s="47">
        <f>SUM(AX$65,BK$65,BX$65)</f>
        <v>0</v>
      </c>
      <c r="FL65" s="47">
        <f>SUM(AY$65,BL$65,BY$65)</f>
        <v>0</v>
      </c>
      <c r="FM65" s="45">
        <f>SUM(CG$65,CT$65,DG$65)</f>
        <v>696</v>
      </c>
      <c r="FN65" s="45">
        <f>SUM(CH$65,CU$65,DH$65)</f>
        <v>673</v>
      </c>
      <c r="FO65" s="45">
        <f>SUM(CI$65,CV$65,DI$65)</f>
        <v>253</v>
      </c>
      <c r="FP65" s="45">
        <f>SUM(CK$65,CX$65,DK$65)</f>
        <v>0</v>
      </c>
      <c r="FQ65" s="45">
        <f>SUM(CL$65,CY$65,DL$65)</f>
        <v>0</v>
      </c>
      <c r="FR65" s="47">
        <f>SUM(DT$65,EG$65,ET$65)</f>
        <v>836</v>
      </c>
      <c r="FS65" s="47">
        <f>SUM(DU$65,EH$65,EU$65)</f>
        <v>598</v>
      </c>
      <c r="FT65" s="47">
        <f>SUM(DV$65,EI$65,EV$65)</f>
        <v>0</v>
      </c>
      <c r="FU65" s="47">
        <f>SUM(DX$65,EK$65,EX$65)</f>
        <v>0</v>
      </c>
      <c r="FV65" s="47">
        <f>SUM(DY$65,EL$65,EY$65)</f>
        <v>0</v>
      </c>
      <c r="FW65" s="35"/>
      <c r="FX65" s="51"/>
      <c r="FY65" s="51"/>
      <c r="FZ65" s="51"/>
      <c r="GA65" s="51"/>
      <c r="GB65" s="35"/>
      <c r="GC65" s="41">
        <f>SUM(FX65:GA65)</f>
        <v>0</v>
      </c>
      <c r="GD65" s="35"/>
      <c r="GE65" s="35"/>
      <c r="GF65" s="35"/>
      <c r="GG65" s="35"/>
      <c r="GH65" s="35"/>
      <c r="GI65" s="35"/>
      <c r="GJ65" s="35"/>
      <c r="GK65" s="35"/>
      <c r="GL65" s="35"/>
      <c r="GM65" s="35"/>
      <c r="GN65" s="35"/>
      <c r="GO65" s="35"/>
      <c r="GP65" s="35"/>
      <c r="GQ65" s="35"/>
      <c r="GR65" s="35"/>
      <c r="GS65" s="35"/>
      <c r="GT65" s="35"/>
      <c r="GU65" s="35"/>
      <c r="GV65" s="35"/>
      <c r="GW65" s="35"/>
      <c r="GX65" s="35"/>
      <c r="GY65" s="35"/>
      <c r="GZ65" s="35"/>
      <c r="HA65" s="35"/>
      <c r="HB65" s="35"/>
      <c r="HC65" s="35"/>
      <c r="HD65" s="35"/>
      <c r="HE65" s="35"/>
      <c r="HF65" s="35"/>
      <c r="HG65" s="35"/>
      <c r="HH65" s="35"/>
      <c r="HI65" s="35"/>
      <c r="HJ65" s="35"/>
      <c r="HK65" s="35"/>
      <c r="HL65" s="35"/>
      <c r="HM65" s="35"/>
      <c r="HN65" s="35"/>
      <c r="HO65" s="35"/>
      <c r="HP65" s="35"/>
      <c r="HQ65" s="35"/>
      <c r="HR65" s="35"/>
      <c r="HS65" s="35"/>
      <c r="HT65" s="35"/>
      <c r="HU65" s="35"/>
      <c r="HV65" s="35"/>
      <c r="HW65" s="35"/>
      <c r="HX65" s="35"/>
      <c r="HY65" s="35"/>
      <c r="HZ65" s="35"/>
      <c r="IA65" s="35"/>
    </row>
    <row r="66" spans="1:235">
      <c r="A66" s="28" t="s">
        <v>1604</v>
      </c>
      <c r="B66" s="28"/>
      <c r="C66" s="29"/>
      <c r="D66" s="29"/>
      <c r="E66" s="32" t="s">
        <v>383</v>
      </c>
      <c r="F66" s="32" t="s">
        <v>383</v>
      </c>
      <c r="G66" s="31">
        <f>SUMIF(G$4:G$38,"In Progress",M$4:M$38)</f>
        <v>0</v>
      </c>
      <c r="H66" s="31">
        <f>SUMIF(H$4:H$38,"In Progress",M$4:M$38)</f>
        <v>30</v>
      </c>
      <c r="I66" s="31">
        <f>SUMIF(I$4:I$38,"In Progress",M$4:M$38)</f>
        <v>0</v>
      </c>
      <c r="J66" s="31"/>
      <c r="K66" s="31">
        <f>SUMIF(K$4:K$38,"In Progress",M$4:M$38)</f>
        <v>0</v>
      </c>
      <c r="L66" s="31">
        <f>SUMIF(L$4:L$38,"In Progress",M$4:M$38)</f>
        <v>0</v>
      </c>
      <c r="M66" s="29"/>
      <c r="N66" s="29"/>
      <c r="O66" s="29"/>
      <c r="P66" s="29"/>
      <c r="Q66" s="30"/>
      <c r="R66" s="32" t="s">
        <v>383</v>
      </c>
      <c r="S66" s="32" t="s">
        <v>383</v>
      </c>
      <c r="T66" s="31">
        <f>SUMIF(T$4:T$38,"In Progress",Z$4:Z$38)</f>
        <v>47</v>
      </c>
      <c r="U66" s="31">
        <f>SUMIF(U$4:U$38,"In Progress",Z$4:Z$38)</f>
        <v>17</v>
      </c>
      <c r="V66" s="31">
        <f>SUMIF(V$4:V$38,"In Progress",Z$4:Z$38)</f>
        <v>0</v>
      </c>
      <c r="W66" s="31"/>
      <c r="X66" s="31">
        <f>SUMIF(X$4:X$38,"In Progress",Z$4:Z$38)</f>
        <v>0</v>
      </c>
      <c r="Y66" s="31">
        <f>SUMIF(Y$4:Y$38,"In Progress",Z$4:Z$38)</f>
        <v>0</v>
      </c>
      <c r="Z66" s="29"/>
      <c r="AA66" s="29"/>
      <c r="AB66" s="29"/>
      <c r="AC66" s="29"/>
      <c r="AD66" s="29"/>
      <c r="AE66" s="32" t="s">
        <v>383</v>
      </c>
      <c r="AF66" s="32" t="s">
        <v>383</v>
      </c>
      <c r="AG66" s="31">
        <f>SUMIF(AG$4:AG$38,"In Progress",AM$4:AM$38)</f>
        <v>0</v>
      </c>
      <c r="AH66" s="31">
        <f>SUMIF(AH$4:AH$38,"In Progress",AM$4:AM$38)</f>
        <v>0</v>
      </c>
      <c r="AI66" s="31">
        <f>SUMIF(AI$4:AI$38,"In Progress",AM$4:AM$38)</f>
        <v>0</v>
      </c>
      <c r="AJ66" s="31"/>
      <c r="AK66" s="31">
        <f>SUMIF(AK$4:AK$38,"In Progress",AM$4:AM$38)</f>
        <v>0</v>
      </c>
      <c r="AL66" s="31">
        <f>SUMIF(AL$4:AL$38,"In Progress",AM$4:AM$38)</f>
        <v>0</v>
      </c>
      <c r="AM66" s="29"/>
      <c r="AN66" s="29"/>
      <c r="AO66" s="29"/>
      <c r="AP66" s="29"/>
      <c r="AQ66" s="29"/>
      <c r="AR66" s="32" t="s">
        <v>383</v>
      </c>
      <c r="AS66" s="32" t="s">
        <v>383</v>
      </c>
      <c r="AT66" s="31">
        <f>SUMIF(AT$4:AT$38,"In Progress",AZ$4:AZ$38)</f>
        <v>24</v>
      </c>
      <c r="AU66" s="31">
        <f>SUMIF(AU$4:AU$38,"In Progress",AZ$4:AZ$38)</f>
        <v>0</v>
      </c>
      <c r="AV66" s="31">
        <f>SUMIF(AV$4:AV$38,"In Progress",AZ$4:AZ$38)</f>
        <v>0</v>
      </c>
      <c r="AW66" s="31"/>
      <c r="AX66" s="31">
        <f>SUMIF(AX$4:AX$38,"In Progress",AZ$4:AZ$38)</f>
        <v>0</v>
      </c>
      <c r="AY66" s="31">
        <f>SUMIF(AY$4:AY$38,"In Progress",AZ$4:AZ$38)</f>
        <v>0</v>
      </c>
      <c r="AZ66" s="29"/>
      <c r="BA66" s="29"/>
      <c r="BB66" s="29"/>
      <c r="BC66" s="29"/>
      <c r="BD66" s="30"/>
      <c r="BE66" s="32" t="s">
        <v>383</v>
      </c>
      <c r="BF66" s="32" t="s">
        <v>383</v>
      </c>
      <c r="BG66" s="31">
        <f>SUMIF(BG$4:BG$38,"In Progress",BM$4:BM$38)</f>
        <v>0</v>
      </c>
      <c r="BH66" s="31">
        <f>SUMIF(BH$4:BH$38,"In Progress",BM$4:BM$38)</f>
        <v>0</v>
      </c>
      <c r="BI66" s="31">
        <f>SUMIF(BI$4:BI$38,"In Progress",BM$4:BM$38)</f>
        <v>0</v>
      </c>
      <c r="BJ66" s="31"/>
      <c r="BK66" s="31">
        <f>SUMIF(BK$4:BK$38,"In Progress",BM$4:BM$38)</f>
        <v>0</v>
      </c>
      <c r="BL66" s="31">
        <f>SUMIF(BL$4:BL$38,"In Progress",BM$4:BM$38)</f>
        <v>0</v>
      </c>
      <c r="BM66" s="29"/>
      <c r="BN66" s="29"/>
      <c r="BO66" s="29"/>
      <c r="BP66" s="29"/>
      <c r="BQ66" s="29"/>
      <c r="BR66" s="32" t="s">
        <v>383</v>
      </c>
      <c r="BS66" s="32" t="s">
        <v>383</v>
      </c>
      <c r="BT66" s="31">
        <f>SUMIF(BT$4:BT$38,"In Progress",BZ$4:BZ$38)</f>
        <v>0</v>
      </c>
      <c r="BU66" s="31">
        <f>SUMIF(BU$4:BU$38,"In Progress",BZ$4:BZ$38)</f>
        <v>0</v>
      </c>
      <c r="BV66" s="31">
        <f>SUMIF(BV$4:BV$38,"In Progress",BZ$4:BZ$38)</f>
        <v>0</v>
      </c>
      <c r="BW66" s="31"/>
      <c r="BX66" s="31">
        <f>SUMIF(BX$4:BX$38,"In Progress",BZ$4:BZ$38)</f>
        <v>0</v>
      </c>
      <c r="BY66" s="31">
        <f>SUMIF(BY$4:BY$38,"In Progress",BZ$4:BZ$38)</f>
        <v>0</v>
      </c>
      <c r="BZ66" s="29"/>
      <c r="CA66" s="29"/>
      <c r="CB66" s="29"/>
      <c r="CC66" s="29"/>
      <c r="CD66" s="29"/>
      <c r="CE66" s="32" t="s">
        <v>383</v>
      </c>
      <c r="CF66" s="32" t="s">
        <v>383</v>
      </c>
      <c r="CG66" s="31">
        <f>SUMIF(CG$4:CG$38,"In Progress",CM$4:CM$38)</f>
        <v>0</v>
      </c>
      <c r="CH66" s="31">
        <f>SUMIF(CH$4:CH$38,"In Progress",CM$4:CM$38)</f>
        <v>0</v>
      </c>
      <c r="CI66" s="31">
        <f>SUMIF(CI$4:CI$38,"In Progress",CM$4:CM$38)</f>
        <v>49</v>
      </c>
      <c r="CJ66" s="31"/>
      <c r="CK66" s="31">
        <f>SUMIF(CK$4:CK$38,"In Progress",CM$4:CM$38)</f>
        <v>0</v>
      </c>
      <c r="CL66" s="31">
        <f>SUMIF(CL$4:CL$38,"In Progress",CM$4:CM$38)</f>
        <v>0</v>
      </c>
      <c r="CM66" s="29"/>
      <c r="CN66" s="29"/>
      <c r="CO66" s="29"/>
      <c r="CP66" s="29"/>
      <c r="CQ66" s="30"/>
      <c r="CR66" s="32" t="s">
        <v>383</v>
      </c>
      <c r="CS66" s="32" t="s">
        <v>383</v>
      </c>
      <c r="CT66" s="31">
        <f>SUMIF(CT$4:CT$37,"In Progress",CZ$4:CZ$37)</f>
        <v>10</v>
      </c>
      <c r="CU66" s="31">
        <f>SUMIF(CU$4:CU$37,"In Progress",CZ$4:CZ$37)</f>
        <v>0</v>
      </c>
      <c r="CV66" s="31">
        <f>SUMIF(CV$4:CV$37,"In Progress",CZ$4:CZ$37)</f>
        <v>176</v>
      </c>
      <c r="CW66" s="31"/>
      <c r="CX66" s="31">
        <f>SUMIF(CX$4:CX$37,"In Progress",CZ$4:CZ$37)</f>
        <v>0</v>
      </c>
      <c r="CY66" s="31">
        <f>SUMIF(CY$4:CY$37,"In Progress",CZ$4:CZ$37)</f>
        <v>0</v>
      </c>
      <c r="CZ66" s="29"/>
      <c r="DA66" s="29"/>
      <c r="DB66" s="29"/>
      <c r="DC66" s="29"/>
      <c r="DD66" s="29"/>
      <c r="DE66" s="32" t="s">
        <v>383</v>
      </c>
      <c r="DF66" s="32" t="s">
        <v>383</v>
      </c>
      <c r="DG66" s="31">
        <f>SUMIF(DG$4:DG$38,"In Progress",DM$4:DM$38)</f>
        <v>27</v>
      </c>
      <c r="DH66" s="31">
        <f>SUMIF(DH$4:DH$38,"In Progress",DM$4:DM$38)</f>
        <v>23</v>
      </c>
      <c r="DI66" s="31">
        <f>SUMIF(DI$4:DI$38,"In Progress",DM$4:DM$38)</f>
        <v>197</v>
      </c>
      <c r="DJ66" s="31"/>
      <c r="DK66" s="31">
        <f>SUMIF(DK$4:DK$38,"In Progress",DM$4:DM$38)</f>
        <v>0</v>
      </c>
      <c r="DL66" s="31">
        <f>SUMIF(DL$4:DL$38,"In Progress",DM$4:DM$38)</f>
        <v>0</v>
      </c>
      <c r="DM66" s="29"/>
      <c r="DN66" s="29"/>
      <c r="DO66" s="29"/>
      <c r="DP66" s="29"/>
      <c r="DQ66" s="29"/>
      <c r="DR66" s="32" t="s">
        <v>383</v>
      </c>
      <c r="DS66" s="32" t="s">
        <v>383</v>
      </c>
      <c r="DT66" s="31">
        <f>SUMIF(DT$4:DT$38,"In Progress",DZ$4:DZ$38)</f>
        <v>54</v>
      </c>
      <c r="DU66" s="31">
        <f>SUMIF(DU$4:DU$38,"In Progress",DZ$4:DZ$38)</f>
        <v>0</v>
      </c>
      <c r="DV66" s="31">
        <f>SUMIF(DV$4:DV$38,"In Progress",DZ$4:DZ$38)</f>
        <v>0</v>
      </c>
      <c r="DW66" s="31"/>
      <c r="DX66" s="31">
        <f>SUMIF(DX$4:DX$38,"In Progress",DZ$4:DZ$38)</f>
        <v>0</v>
      </c>
      <c r="DY66" s="31">
        <f>SUMIF(DY$4:DY$38,"In Progress",DZ$4:DZ$38)</f>
        <v>0</v>
      </c>
      <c r="DZ66" s="29"/>
      <c r="EA66" s="29"/>
      <c r="EB66" s="29"/>
      <c r="EC66" s="29"/>
      <c r="ED66" s="30"/>
      <c r="EE66" s="32" t="s">
        <v>383</v>
      </c>
      <c r="EF66" s="32" t="s">
        <v>383</v>
      </c>
      <c r="EG66" s="31">
        <f>SUMIF(EG$4:EG$38,"In Progress",EM$4:EM$38)</f>
        <v>20</v>
      </c>
      <c r="EH66" s="31">
        <f>SUMIF(EH$4:EH$38,"In Progress",EM$4:EM$38)</f>
        <v>0</v>
      </c>
      <c r="EI66" s="31">
        <f>SUMIF(EI$4:EI$38,"In Progress",EM$4:EM$38)</f>
        <v>0</v>
      </c>
      <c r="EJ66" s="31"/>
      <c r="EK66" s="31">
        <f>SUMIF(EK$4:EK$38,"In Progress",EM$4:EM$38)</f>
        <v>0</v>
      </c>
      <c r="EL66" s="31">
        <f>SUMIF(EL$4:EL$38,"In Progress",EM$4:EM$38)</f>
        <v>0</v>
      </c>
      <c r="EM66" s="29"/>
      <c r="EN66" s="29"/>
      <c r="EO66" s="29"/>
      <c r="EP66" s="29"/>
      <c r="EQ66" s="29"/>
      <c r="ER66" s="32" t="s">
        <v>383</v>
      </c>
      <c r="ES66" s="32" t="s">
        <v>383</v>
      </c>
      <c r="ET66" s="31">
        <f>SUMIF(ET$4:ET$38,"In Progress",EZ$4:EZ$38)</f>
        <v>0</v>
      </c>
      <c r="EU66" s="31">
        <f>SUMIF(EU$4:EU$38,"In Progress",EZ$4:EZ$38)</f>
        <v>238</v>
      </c>
      <c r="EV66" s="31">
        <f>SUMIF(EV$4:EV$38,"In Progress",EZ$4:EZ$38)</f>
        <v>0</v>
      </c>
      <c r="EW66" s="31"/>
      <c r="EX66" s="31">
        <f>SUMIF(EX$4:EX$38,"In Progress",EZ$4:EZ$38)</f>
        <v>0</v>
      </c>
      <c r="EY66" s="31">
        <f>SUMIF(EY$4:EY$38,"In Progress",EZ$4:EZ$38)</f>
        <v>0</v>
      </c>
      <c r="EZ66" s="29"/>
      <c r="FA66" s="29"/>
      <c r="FB66" s="36">
        <f>8+13</f>
        <v>21</v>
      </c>
      <c r="FC66" s="45">
        <f>SUM(G$66, T$66, AG$66)</f>
        <v>47</v>
      </c>
      <c r="FD66" s="45">
        <f>SUM(H$66, U$66, AH$66)</f>
        <v>47</v>
      </c>
      <c r="FE66" s="45">
        <f>SUM(I$66, V$66, AI$66)</f>
        <v>0</v>
      </c>
      <c r="FF66" s="45">
        <f>SUM(K$66, X$66, AK$66)</f>
        <v>0</v>
      </c>
      <c r="FG66" s="45">
        <f>SUM(L$66, Y$66, AL$66)</f>
        <v>0</v>
      </c>
      <c r="FH66" s="47">
        <f>SUM(AT$66,BG$66,BT$66)</f>
        <v>24</v>
      </c>
      <c r="FI66" s="47">
        <f>SUM(AU$66,BH$66,BU$66)</f>
        <v>0</v>
      </c>
      <c r="FJ66" s="47">
        <f>SUM(AV$66,BI$66,BV$66)</f>
        <v>0</v>
      </c>
      <c r="FK66" s="47">
        <f>SUM(AX$66,BK$66,BX$66)</f>
        <v>0</v>
      </c>
      <c r="FL66" s="47">
        <f>SUM(AY$66,BL$66,BY$66)</f>
        <v>0</v>
      </c>
      <c r="FM66" s="45">
        <f>SUM(CG$66,CT$66,DG$66)</f>
        <v>37</v>
      </c>
      <c r="FN66" s="45">
        <f>SUM(CH$66,CU$66,DH$66)</f>
        <v>23</v>
      </c>
      <c r="FO66" s="45">
        <f>SUM(CI$66,CV$66,DI$66)</f>
        <v>422</v>
      </c>
      <c r="FP66" s="45">
        <f>SUM(CK$66,CX$66,DK$66)</f>
        <v>0</v>
      </c>
      <c r="FQ66" s="45">
        <f>SUM(CL$66,CY$66,DL$66)</f>
        <v>0</v>
      </c>
      <c r="FR66" s="47">
        <f>SUM(DT$66,EG$66,ET$66)</f>
        <v>74</v>
      </c>
      <c r="FS66" s="47">
        <f>SUM(DU$66,EH$66,EU$66)</f>
        <v>238</v>
      </c>
      <c r="FT66" s="47">
        <f>SUM(DV$66,EI$66,EV$66)</f>
        <v>0</v>
      </c>
      <c r="FU66" s="47">
        <f>SUM(DX$66,EK$66,EX$66)</f>
        <v>0</v>
      </c>
      <c r="FV66" s="47">
        <f>SUM(DY$66,EL$66,EY$66)</f>
        <v>0</v>
      </c>
      <c r="FW66" s="36"/>
      <c r="FX66" s="51"/>
      <c r="FY66" s="51"/>
      <c r="FZ66" s="51"/>
      <c r="GA66" s="51"/>
      <c r="GB66" s="35"/>
      <c r="GC66" s="41">
        <f>SUM(FX66:GA66)</f>
        <v>0</v>
      </c>
      <c r="GD66" s="36"/>
      <c r="GE66" s="36"/>
      <c r="GF66" s="36"/>
      <c r="GG66" s="36"/>
      <c r="GH66" s="36"/>
      <c r="GI66" s="36"/>
      <c r="GJ66" s="36"/>
      <c r="GK66" s="36"/>
      <c r="GL66" s="36"/>
      <c r="GM66" s="36"/>
      <c r="GN66" s="36"/>
      <c r="GO66" s="36"/>
      <c r="GP66" s="36"/>
      <c r="GQ66" s="36"/>
      <c r="GR66" s="36"/>
      <c r="GS66" s="36"/>
      <c r="GT66" s="36"/>
      <c r="GU66" s="36"/>
      <c r="GV66" s="36"/>
      <c r="GW66" s="36"/>
      <c r="GX66" s="36"/>
      <c r="GY66" s="36"/>
      <c r="GZ66" s="36"/>
      <c r="HA66" s="36"/>
      <c r="HB66" s="36"/>
      <c r="HC66" s="36"/>
      <c r="HD66" s="36"/>
      <c r="HE66" s="36"/>
      <c r="HF66" s="36"/>
      <c r="HG66" s="36"/>
      <c r="HH66" s="36"/>
      <c r="HI66" s="36"/>
      <c r="HJ66" s="36"/>
      <c r="HK66" s="36"/>
      <c r="HL66" s="36"/>
      <c r="HM66" s="36"/>
      <c r="HN66" s="36"/>
      <c r="HO66" s="36"/>
      <c r="HP66" s="36"/>
      <c r="HQ66" s="36"/>
      <c r="HR66" s="36"/>
      <c r="HS66" s="36"/>
      <c r="HT66" s="36"/>
      <c r="HU66" s="36"/>
      <c r="HV66" s="36"/>
      <c r="HW66" s="36"/>
      <c r="HX66" s="36"/>
      <c r="HY66" s="36"/>
      <c r="HZ66" s="36"/>
      <c r="IA66" s="36"/>
    </row>
    <row r="67" spans="1:235">
      <c r="A67" s="28" t="s">
        <v>1605</v>
      </c>
      <c r="B67" s="28"/>
      <c r="C67" s="29"/>
      <c r="D67" s="29"/>
      <c r="E67" s="32" t="s">
        <v>383</v>
      </c>
      <c r="F67" s="32" t="s">
        <v>383</v>
      </c>
      <c r="G67" s="31">
        <f>SUMIF(G$4:G$38,"Planned",M$4:M$38)</f>
        <v>0</v>
      </c>
      <c r="H67" s="31">
        <f>SUMIF(H$4:H$38,"Planned",M$4:M$38)</f>
        <v>0</v>
      </c>
      <c r="I67" s="31">
        <f>SUMIF(I$4:I$38,"Planned",M$4:M$38)</f>
        <v>0</v>
      </c>
      <c r="J67" s="31"/>
      <c r="K67" s="31" t="e">
        <f>SUMIF(K$4:K$38,"Planned",M$4:M$38)</f>
        <v>#REF!</v>
      </c>
      <c r="L67" s="31" t="e">
        <f>SUMIF(L$4:L$38,"Planned",M$4:M$38)</f>
        <v>#REF!</v>
      </c>
      <c r="M67" s="29"/>
      <c r="N67" s="29"/>
      <c r="O67" s="29"/>
      <c r="P67" s="29"/>
      <c r="Q67" s="30"/>
      <c r="R67" s="32" t="s">
        <v>383</v>
      </c>
      <c r="S67" s="32" t="s">
        <v>383</v>
      </c>
      <c r="T67" s="31">
        <f>SUMIF(T$4:T$38,"Planned",Z$4:Z$38)</f>
        <v>0</v>
      </c>
      <c r="U67" s="31">
        <f>SUMIF(U$4:U$38,"Planned",Z$4:Z$38)</f>
        <v>0</v>
      </c>
      <c r="V67" s="31">
        <f>SUMIF(V$4:V$38,"Planned",Z$4:Z$38)</f>
        <v>0</v>
      </c>
      <c r="W67" s="31"/>
      <c r="X67" s="31">
        <f>SUMIF(X$4:X$38,"Planned",Z$4:Z$38)</f>
        <v>402</v>
      </c>
      <c r="Y67" s="31">
        <f>SUMIF(Y$4:Y$38,"Planned",Z$4:Z$38)</f>
        <v>402</v>
      </c>
      <c r="Z67" s="29"/>
      <c r="AA67" s="29"/>
      <c r="AB67" s="29"/>
      <c r="AC67" s="29"/>
      <c r="AD67" s="29"/>
      <c r="AE67" s="32" t="s">
        <v>383</v>
      </c>
      <c r="AF67" s="32" t="s">
        <v>383</v>
      </c>
      <c r="AG67" s="31">
        <f>SUMIF(AG$4:AG$38,"Planned",AM$4:AM$38)</f>
        <v>0</v>
      </c>
      <c r="AH67" s="31">
        <f>SUMIF(AH$4:AH$38,"Planned",AM$4:AM$38)</f>
        <v>0</v>
      </c>
      <c r="AI67" s="31">
        <f>SUMIF(AI$4:AI$38,"Planned",AM$4:AM$38)</f>
        <v>0</v>
      </c>
      <c r="AJ67" s="31"/>
      <c r="AK67" s="31">
        <f>SUMIF(AK$4:AK$38,"Planned",AM$4:AM$38)</f>
        <v>97</v>
      </c>
      <c r="AL67" s="31">
        <f>SUMIF(AL$4:AL$38,"Planned",AM$4:AM$38)</f>
        <v>97</v>
      </c>
      <c r="AM67" s="29"/>
      <c r="AN67" s="29"/>
      <c r="AO67" s="29"/>
      <c r="AP67" s="29"/>
      <c r="AQ67" s="29"/>
      <c r="AR67" s="32" t="s">
        <v>383</v>
      </c>
      <c r="AS67" s="32" t="s">
        <v>383</v>
      </c>
      <c r="AT67" s="31">
        <f>SUMIF(AT$4:AT$38,"Planned",AZ$4:AZ$38)</f>
        <v>0</v>
      </c>
      <c r="AU67" s="31">
        <f>SUMIF(AU$4:AU$38,"Planned",AZ$4:AZ$38)</f>
        <v>0</v>
      </c>
      <c r="AV67" s="31">
        <f>SUMIF(AV$4:AV$38,"Planned",AZ$4:AZ$38)</f>
        <v>0</v>
      </c>
      <c r="AW67" s="31"/>
      <c r="AX67" s="31">
        <f>SUMIF(AX$4:AX$38,"Planned",AZ$4:AZ$38)</f>
        <v>628</v>
      </c>
      <c r="AY67" s="31">
        <f>SUMIF(AY$4:AY$38,"Planned",AZ$4:AZ$38)</f>
        <v>628</v>
      </c>
      <c r="AZ67" s="29"/>
      <c r="BA67" s="29"/>
      <c r="BB67" s="29"/>
      <c r="BC67" s="29"/>
      <c r="BD67" s="30"/>
      <c r="BE67" s="32" t="s">
        <v>383</v>
      </c>
      <c r="BF67" s="32" t="s">
        <v>383</v>
      </c>
      <c r="BG67" s="31">
        <f>SUMIF(BG$4:BG$38,"Planned",BM$4:BM$38)</f>
        <v>0</v>
      </c>
      <c r="BH67" s="31">
        <f>SUMIF(BH$4:BH$38,"Planned",BM$4:BM$38)</f>
        <v>0</v>
      </c>
      <c r="BI67" s="31">
        <f>SUMIF(BI$4:BI$38,"Planned",BM$4:BM$38)</f>
        <v>0</v>
      </c>
      <c r="BJ67" s="31"/>
      <c r="BK67" s="31">
        <f>SUMIF(BK$4:BK$38,"Planned",BM$4:BM$38)</f>
        <v>107</v>
      </c>
      <c r="BL67" s="31">
        <f>SUMIF(BL$4:BL$38,"Planned",BM$4:BM$38)</f>
        <v>107</v>
      </c>
      <c r="BM67" s="29"/>
      <c r="BN67" s="29"/>
      <c r="BO67" s="29"/>
      <c r="BP67" s="29"/>
      <c r="BQ67" s="29"/>
      <c r="BR67" s="32" t="s">
        <v>383</v>
      </c>
      <c r="BS67" s="32" t="s">
        <v>383</v>
      </c>
      <c r="BT67" s="31">
        <f>SUMIF(BT$4:BT$38,"Planned",BZ$4:BZ$38)</f>
        <v>0</v>
      </c>
      <c r="BU67" s="31">
        <f>SUMIF(BU$4:BU$38,"Planned",BZ$4:BZ$38)</f>
        <v>0</v>
      </c>
      <c r="BV67" s="31">
        <f>SUMIF(BV$4:BV$38,"Planned",BZ$4:BZ$38)</f>
        <v>0</v>
      </c>
      <c r="BW67" s="31"/>
      <c r="BX67" s="31">
        <f>SUMIF(BX$4:BX$38,"Planned",BZ$4:BZ$38)</f>
        <v>70</v>
      </c>
      <c r="BY67" s="31">
        <f>SUMIF(BY$4:BY$38,"Planned",BZ$4:BZ$38)</f>
        <v>70</v>
      </c>
      <c r="BZ67" s="29"/>
      <c r="CA67" s="29"/>
      <c r="CB67" s="29"/>
      <c r="CC67" s="29"/>
      <c r="CD67" s="29"/>
      <c r="CE67" s="32" t="s">
        <v>383</v>
      </c>
      <c r="CF67" s="32" t="s">
        <v>383</v>
      </c>
      <c r="CG67" s="31">
        <f>SUMIF(CG$4:CG$38,"Planned",CM$4:CM$38)</f>
        <v>0</v>
      </c>
      <c r="CH67" s="31">
        <f>SUMIF(CH$4:CH$38,"Planned",CM$4:CM$38)</f>
        <v>0</v>
      </c>
      <c r="CI67" s="31">
        <f>SUMIF(CI$4:CI$38,"Planned",CM$4:CM$38)</f>
        <v>0</v>
      </c>
      <c r="CJ67" s="31"/>
      <c r="CK67" s="31">
        <f>SUMIF(CK$4:CK$38,"Planned",CM$4:CM$38)</f>
        <v>211</v>
      </c>
      <c r="CL67" s="31">
        <f>SUMIF(CL$4:CL$38,"Planned",CM$4:CM$38)</f>
        <v>211</v>
      </c>
      <c r="CM67" s="29"/>
      <c r="CN67" s="29"/>
      <c r="CO67" s="29"/>
      <c r="CP67" s="29"/>
      <c r="CQ67" s="30"/>
      <c r="CR67" s="32" t="s">
        <v>383</v>
      </c>
      <c r="CS67" s="32" t="s">
        <v>383</v>
      </c>
      <c r="CT67" s="31">
        <f>SUMIF(CT$4:CT$37,"Planned",CZ$4:CZ$37)</f>
        <v>0</v>
      </c>
      <c r="CU67" s="31">
        <f>SUMIF(CU$4:CU$37,"Planned",CZ$4:CZ$37)</f>
        <v>0</v>
      </c>
      <c r="CV67" s="31">
        <f>SUMIF(CV$4:CV$37,"Planned",CZ$4:CZ$37)</f>
        <v>0</v>
      </c>
      <c r="CW67" s="31"/>
      <c r="CX67" s="31">
        <f>SUMIF(CX$4:CX$37,"Planned",CZ$4:CZ$37)</f>
        <v>244</v>
      </c>
      <c r="CY67" s="31">
        <f>SUMIF(CY$4:CY$37,"Planned",CZ$4:CZ$37)</f>
        <v>244</v>
      </c>
      <c r="CZ67" s="29"/>
      <c r="DA67" s="29"/>
      <c r="DB67" s="29"/>
      <c r="DC67" s="29"/>
      <c r="DD67" s="29"/>
      <c r="DE67" s="32" t="s">
        <v>383</v>
      </c>
      <c r="DF67" s="32" t="s">
        <v>383</v>
      </c>
      <c r="DG67" s="31">
        <f>SUMIF(DG$4:DG$38,"Planned",DM$4:DM$38)</f>
        <v>0</v>
      </c>
      <c r="DH67" s="31">
        <f>SUMIF(DH$4:DH$38,"Planned",DM$4:DM$38)</f>
        <v>0</v>
      </c>
      <c r="DI67" s="31">
        <f>SUMIF(DI$4:DI$38,"Planned",DM$4:DM$38)</f>
        <v>0</v>
      </c>
      <c r="DJ67" s="31"/>
      <c r="DK67" s="31">
        <f>SUMIF(DK$4:DK$38,"Planned",DM$4:DM$38)</f>
        <v>207</v>
      </c>
      <c r="DL67" s="31">
        <f>SUMIF(DL$4:DL$38,"Planned",DM$4:DM$38)</f>
        <v>207</v>
      </c>
      <c r="DM67" s="29"/>
      <c r="DN67" s="29"/>
      <c r="DO67" s="29"/>
      <c r="DP67" s="29"/>
      <c r="DQ67" s="29"/>
      <c r="DR67" s="32" t="s">
        <v>383</v>
      </c>
      <c r="DS67" s="32" t="s">
        <v>383</v>
      </c>
      <c r="DT67" s="31">
        <f>SUMIF(DT$4:DT$38,"Planned",DZ$4:DZ$38)</f>
        <v>0</v>
      </c>
      <c r="DU67" s="31">
        <f>SUMIF(DU$4:DU$38,"Planned",DZ$4:DZ$38)</f>
        <v>0</v>
      </c>
      <c r="DV67" s="31">
        <f>SUMIF(DV$4:DV$38,"Planned",DZ$4:DZ$38)</f>
        <v>438</v>
      </c>
      <c r="DW67" s="31"/>
      <c r="DX67" s="31">
        <f>SUMIF(DX$4:DX$38,"Planned",DZ$4:DZ$38)</f>
        <v>438</v>
      </c>
      <c r="DY67" s="31">
        <f>SUMIF(DY$4:DY$38,"Planned",DZ$4:DZ$38)</f>
        <v>438</v>
      </c>
      <c r="DZ67" s="29"/>
      <c r="EA67" s="29"/>
      <c r="EB67" s="29"/>
      <c r="EC67" s="29"/>
      <c r="ED67" s="30"/>
      <c r="EE67" s="32" t="s">
        <v>383</v>
      </c>
      <c r="EF67" s="32" t="s">
        <v>383</v>
      </c>
      <c r="EG67" s="31">
        <f>SUMIF(EG$4:EG$38,"Planned",EM$4:EM$38)</f>
        <v>0</v>
      </c>
      <c r="EH67" s="31">
        <f>SUMIF(EH$4:EH$38,"Planned",EM$4:EM$38)</f>
        <v>0</v>
      </c>
      <c r="EI67" s="31">
        <f>SUMIF(EI$4:EI$38,"Planned",EM$4:EM$38)</f>
        <v>25</v>
      </c>
      <c r="EJ67" s="31"/>
      <c r="EK67" s="31">
        <f>SUMIF(EK$4:EK$38,"Planned",EM$4:EM$38)</f>
        <v>25</v>
      </c>
      <c r="EL67" s="31">
        <f>SUMIF(EL$4:EL$38,"Planned",EM$4:EM$38)</f>
        <v>25</v>
      </c>
      <c r="EM67" s="29"/>
      <c r="EN67" s="29"/>
      <c r="EO67" s="29"/>
      <c r="EP67" s="29"/>
      <c r="EQ67" s="29"/>
      <c r="ER67" s="32" t="s">
        <v>383</v>
      </c>
      <c r="ES67" s="32" t="s">
        <v>383</v>
      </c>
      <c r="ET67" s="31">
        <f>SUMIF(ET$4:ET$38,"Planned",EZ$4:EZ$38)</f>
        <v>0</v>
      </c>
      <c r="EU67" s="31">
        <f>SUMIF(EU$4:EU$38,"Planned",EZ$4:EZ$38)</f>
        <v>0</v>
      </c>
      <c r="EV67" s="31">
        <f>SUMIF(EV$4:EV$38,"Planned",EZ$4:EZ$38)</f>
        <v>0</v>
      </c>
      <c r="EW67" s="31"/>
      <c r="EX67" s="31">
        <f>SUMIF(EX$4:EX$38,"Planned",EZ$4:EZ$38)</f>
        <v>0</v>
      </c>
      <c r="EY67" s="31">
        <f>SUMIF(EY$4:EY$38,"Planned",EZ$4:EZ$38)</f>
        <v>0</v>
      </c>
      <c r="EZ67" s="33"/>
      <c r="FA67" s="33"/>
      <c r="FB67" s="36"/>
      <c r="FC67" s="45">
        <f>SUM(G$67, T67, AG$67)</f>
        <v>0</v>
      </c>
      <c r="FD67" s="45">
        <f>SUM(H$67, U67, AH$67)</f>
        <v>0</v>
      </c>
      <c r="FE67" s="45">
        <f>SUM(I$67, V67, AI$67)</f>
        <v>0</v>
      </c>
      <c r="FF67" s="45" t="e">
        <f>SUM(K$67, X67, AK$67)</f>
        <v>#REF!</v>
      </c>
      <c r="FG67" s="45" t="e">
        <f>SUM(L$67, Y67, AL$67)</f>
        <v>#REF!</v>
      </c>
      <c r="FH67" s="47">
        <f>SUM(AT$67,BG$67,BT$67)</f>
        <v>0</v>
      </c>
      <c r="FI67" s="47">
        <f>SUM(AU$67,BH$67,BU$67)</f>
        <v>0</v>
      </c>
      <c r="FJ67" s="47">
        <f>SUM(AV$67,BI$67,BV$67)</f>
        <v>0</v>
      </c>
      <c r="FK67" s="47">
        <f>SUM(AX$67,BK$67,BX$67)</f>
        <v>805</v>
      </c>
      <c r="FL67" s="47">
        <f>SUM(AY$67,BL$67,BY$67)</f>
        <v>805</v>
      </c>
      <c r="FM67" s="45">
        <f>SUM(CG$67,CT$67,DG$67)</f>
        <v>0</v>
      </c>
      <c r="FN67" s="45">
        <f>SUM(CH$67,CU$67,DH$67)</f>
        <v>0</v>
      </c>
      <c r="FO67" s="45">
        <f>SUM(CI$67,CV$67,DI$67)</f>
        <v>0</v>
      </c>
      <c r="FP67" s="45">
        <f>SUM(CK$67,CX$67,DK$67)</f>
        <v>662</v>
      </c>
      <c r="FQ67" s="45">
        <f>SUM(CL$67,CY$67,DL$67)</f>
        <v>662</v>
      </c>
      <c r="FR67" s="47">
        <f>SUM(DT$67,EG$67,ET$67)</f>
        <v>0</v>
      </c>
      <c r="FS67" s="47">
        <f>SUM(DU$67,EH$67,EU$67)</f>
        <v>0</v>
      </c>
      <c r="FT67" s="47">
        <f>SUM(DV$67,EI$67,EV$67)</f>
        <v>463</v>
      </c>
      <c r="FU67" s="47">
        <f>SUM(DX$67,EK$67,EX$67)</f>
        <v>463</v>
      </c>
      <c r="FV67" s="47">
        <f>SUM(DY$67,EL$67,EY$67)</f>
        <v>463</v>
      </c>
      <c r="FW67" s="36"/>
      <c r="FX67" s="51"/>
      <c r="FY67" s="51"/>
      <c r="FZ67" s="51"/>
      <c r="GA67" s="51"/>
      <c r="GB67" s="36"/>
      <c r="GC67" s="41">
        <f>SUM(FX67:GA67)</f>
        <v>0</v>
      </c>
      <c r="GD67" s="36"/>
      <c r="GE67" s="36"/>
      <c r="GF67" s="36"/>
      <c r="GG67" s="36"/>
      <c r="GH67" s="36"/>
      <c r="GI67" s="36"/>
      <c r="GJ67" s="36"/>
      <c r="GK67" s="36"/>
      <c r="GL67" s="36"/>
      <c r="GM67" s="36"/>
      <c r="GN67" s="36"/>
      <c r="GO67" s="36"/>
      <c r="GP67" s="36"/>
      <c r="GQ67" s="36"/>
      <c r="GR67" s="36"/>
      <c r="GS67" s="36"/>
      <c r="GT67" s="36"/>
      <c r="GU67" s="36"/>
      <c r="GV67" s="36"/>
      <c r="GW67" s="36"/>
      <c r="GX67" s="36"/>
      <c r="GY67" s="36"/>
      <c r="GZ67" s="36"/>
      <c r="HA67" s="36"/>
      <c r="HB67" s="36"/>
      <c r="HC67" s="36"/>
      <c r="HD67" s="36"/>
      <c r="HE67" s="36"/>
      <c r="HF67" s="36"/>
      <c r="HG67" s="36"/>
      <c r="HH67" s="36"/>
      <c r="HI67" s="36"/>
      <c r="HJ67" s="36"/>
      <c r="HK67" s="36"/>
      <c r="HL67" s="36"/>
      <c r="HM67" s="36"/>
      <c r="HN67" s="36"/>
      <c r="HO67" s="36"/>
      <c r="HP67" s="36"/>
      <c r="HQ67" s="36"/>
      <c r="HR67" s="36"/>
      <c r="HS67" s="36"/>
      <c r="HT67" s="36"/>
      <c r="HU67" s="36"/>
      <c r="HV67" s="36"/>
      <c r="HW67" s="36"/>
      <c r="HX67" s="36"/>
      <c r="HY67" s="36"/>
      <c r="HZ67" s="36"/>
      <c r="IA67" s="36"/>
    </row>
    <row r="68" spans="1:235">
      <c r="A68" s="28" t="s">
        <v>1606</v>
      </c>
      <c r="B68" s="28"/>
      <c r="C68" s="29"/>
      <c r="D68" s="29"/>
      <c r="E68" s="32" t="s">
        <v>383</v>
      </c>
      <c r="F68" s="32" t="s">
        <v>383</v>
      </c>
      <c r="G68" s="31">
        <f>SUMIF(G$4:G$38,"Tentative",M$4:M$38)</f>
        <v>0</v>
      </c>
      <c r="H68" s="31">
        <f>SUMIF(H$4:H$38,"Tentative",M$4:M$38)</f>
        <v>0</v>
      </c>
      <c r="I68" s="31">
        <f>SUMIF(I$4:I$38,"Tentative",M$4:M$38)</f>
        <v>0</v>
      </c>
      <c r="J68" s="31"/>
      <c r="K68" s="31">
        <f>SUMIF(K$4:K$38,"Tentative",M$4:M$38)</f>
        <v>0</v>
      </c>
      <c r="L68" s="31">
        <f>SUMIF(L$4:L$38,"Tentative",M$4:M$38)</f>
        <v>0</v>
      </c>
      <c r="M68" s="29"/>
      <c r="N68" s="29"/>
      <c r="O68" s="29"/>
      <c r="P68" s="29"/>
      <c r="Q68" s="29"/>
      <c r="R68" s="32" t="s">
        <v>383</v>
      </c>
      <c r="S68" s="32" t="s">
        <v>383</v>
      </c>
      <c r="T68" s="31">
        <f>SUMIF(T$4:T$38,"Tentative",Z$4:Z$38)</f>
        <v>0</v>
      </c>
      <c r="U68" s="31">
        <f>SUMIF(U$4:U$38,"Tentative",Z$4:Z$38)</f>
        <v>0</v>
      </c>
      <c r="V68" s="31">
        <f>SUMIF(V$4:V$38,"Tentative",Z$4:Z$38)</f>
        <v>0</v>
      </c>
      <c r="W68" s="31"/>
      <c r="X68" s="31">
        <f>SUMIF(X$4:X$38,"Tentative",Z$4:Z$38)</f>
        <v>0</v>
      </c>
      <c r="Y68" s="31">
        <f>SUMIF(Y$4:Y$38,"Tentative",Z$4:Z$38)</f>
        <v>0</v>
      </c>
      <c r="Z68" s="29"/>
      <c r="AA68" s="29"/>
      <c r="AB68" s="29"/>
      <c r="AC68" s="29"/>
      <c r="AD68" s="29"/>
      <c r="AE68" s="32" t="s">
        <v>383</v>
      </c>
      <c r="AF68" s="32" t="s">
        <v>383</v>
      </c>
      <c r="AG68" s="31">
        <f>SUMIF(AG$4:AG$38,"Tentative",AM$4:AM$38)</f>
        <v>0</v>
      </c>
      <c r="AH68" s="31">
        <f>SUMIF(AH$4:AH$38,"Tentative",AM$4:AM$38)</f>
        <v>0</v>
      </c>
      <c r="AI68" s="31">
        <f>SUMIF(AI$4:AI$38,"Tentative",AM$4:AM$38)</f>
        <v>0</v>
      </c>
      <c r="AJ68" s="31"/>
      <c r="AK68" s="31">
        <f>SUMIF(AK$4:AK$38,"Tentative",AM$4:AM$38)</f>
        <v>0</v>
      </c>
      <c r="AL68" s="31">
        <f>SUMIF(AL$4:AL$38,"Tentative",AM$4:AM$38)</f>
        <v>0</v>
      </c>
      <c r="AM68" s="29"/>
      <c r="AN68" s="29"/>
      <c r="AO68" s="29"/>
      <c r="AP68" s="29"/>
      <c r="AQ68" s="29"/>
      <c r="AR68" s="32" t="s">
        <v>383</v>
      </c>
      <c r="AS68" s="32" t="s">
        <v>383</v>
      </c>
      <c r="AT68" s="31">
        <f>SUMIF(AT$4:AT$38,"Tentative",AZ$4:AZ$38)</f>
        <v>0</v>
      </c>
      <c r="AU68" s="31">
        <f>SUMIF(AU$4:AU$38,"Tentative",AZ$4:AZ$38)</f>
        <v>0</v>
      </c>
      <c r="AV68" s="31">
        <f>SUMIF(AV$4:AV$38,"Tentative",AZ$4:AZ$38)</f>
        <v>0</v>
      </c>
      <c r="AW68" s="31"/>
      <c r="AX68" s="31">
        <f>SUMIF(AX$4:AX$38,"Tentative",AZ$4:AZ$38)</f>
        <v>0</v>
      </c>
      <c r="AY68" s="31">
        <f>SUMIF(AY$4:AY$38,"Tentative",AZ$4:AZ$38)</f>
        <v>0</v>
      </c>
      <c r="AZ68" s="29"/>
      <c r="BA68" s="29"/>
      <c r="BB68" s="29"/>
      <c r="BC68" s="29"/>
      <c r="BD68" s="29"/>
      <c r="BE68" s="32" t="s">
        <v>383</v>
      </c>
      <c r="BF68" s="32" t="s">
        <v>383</v>
      </c>
      <c r="BG68" s="31">
        <f>SUMIF(BG$4:BG$38,"Tentative",BM$4:BM$38)</f>
        <v>0</v>
      </c>
      <c r="BH68" s="31">
        <f>SUMIF(BH$4:BH$38,"Tentative",BM$4:BM$38)</f>
        <v>0</v>
      </c>
      <c r="BI68" s="31">
        <f>SUMIF(BI$4:BI$38,"Tentative",BM$4:BM$38)</f>
        <v>0</v>
      </c>
      <c r="BJ68" s="31"/>
      <c r="BK68" s="31">
        <f>SUMIF(BK$4:BK$38,"Tentative",BM$4:BM$38)</f>
        <v>0</v>
      </c>
      <c r="BL68" s="31">
        <f>SUMIF(BL$4:BL$38,"Tentative",BM$4:BM$38)</f>
        <v>0</v>
      </c>
      <c r="BM68" s="29"/>
      <c r="BN68" s="29"/>
      <c r="BO68" s="29"/>
      <c r="BP68" s="29"/>
      <c r="BQ68" s="29"/>
      <c r="BR68" s="32" t="s">
        <v>383</v>
      </c>
      <c r="BS68" s="32" t="s">
        <v>383</v>
      </c>
      <c r="BT68" s="31">
        <f>SUMIF(BT$4:BT$38,"Tentative",BZ$4:BZ$38)</f>
        <v>0</v>
      </c>
      <c r="BU68" s="31">
        <f>SUMIF(BU$4:BU$38,"Tentative",BZ$4:BZ$38)</f>
        <v>0</v>
      </c>
      <c r="BV68" s="31">
        <f>SUMIF(BV$4:BV$38,"Tentative",BZ$4:BZ$38)</f>
        <v>0</v>
      </c>
      <c r="BW68" s="31"/>
      <c r="BX68" s="31">
        <f>SUMIF(BX$4:BX$38,"Tentative",BZ$4:BZ$38)</f>
        <v>0</v>
      </c>
      <c r="BY68" s="31">
        <f>SUMIF(BY$4:BY$38,"Tentative",BZ$4:BZ$38)</f>
        <v>0</v>
      </c>
      <c r="BZ68" s="29"/>
      <c r="CA68" s="29"/>
      <c r="CB68" s="29"/>
      <c r="CC68" s="29"/>
      <c r="CD68" s="29"/>
      <c r="CE68" s="32" t="s">
        <v>383</v>
      </c>
      <c r="CF68" s="32" t="s">
        <v>383</v>
      </c>
      <c r="CG68" s="31">
        <f>SUMIF(CG$4:CG$38,"Tentative",CM$4:CM$38)</f>
        <v>0</v>
      </c>
      <c r="CH68" s="31">
        <f>SUMIF(CH$4:CH$38,"Tentative",CM$4:CM$38)</f>
        <v>0</v>
      </c>
      <c r="CI68" s="31">
        <f>SUMIF(CI$4:CI$38,"Tentative",CM$4:CM$38)</f>
        <v>0</v>
      </c>
      <c r="CJ68" s="31"/>
      <c r="CK68" s="31">
        <f>SUMIF(CK$4:CK$38,"Tentative",CM$4:CM$38)</f>
        <v>0</v>
      </c>
      <c r="CL68" s="31">
        <f>SUMIF(CL$4:CL$38,"Tentative",CM$4:CM$38)</f>
        <v>0</v>
      </c>
      <c r="CM68" s="29"/>
      <c r="CN68" s="29"/>
      <c r="CO68" s="29"/>
      <c r="CP68" s="29"/>
      <c r="CQ68" s="29"/>
      <c r="CR68" s="32" t="s">
        <v>383</v>
      </c>
      <c r="CS68" s="32" t="s">
        <v>383</v>
      </c>
      <c r="CT68" s="31">
        <f>SUMIF(CT$4:CT$37,"Tentative",CZ$4:CZ$37)</f>
        <v>0</v>
      </c>
      <c r="CU68" s="31">
        <f>SUMIF(CU$4:CU$37,"Tentative",CZ$4:CZ$37)</f>
        <v>0</v>
      </c>
      <c r="CV68" s="31">
        <f>SUMIF(CV$4:CV$37,"Tentative",CZ$4:CZ$37)</f>
        <v>13</v>
      </c>
      <c r="CW68" s="31"/>
      <c r="CX68" s="31">
        <f>SUMIF(CX$4:CX$37,"Tentative",CZ$4:CZ$37)</f>
        <v>0</v>
      </c>
      <c r="CY68" s="31">
        <f>SUMIF(CY$4:CY$37,"Tentative",CZ$4:CZ$37)</f>
        <v>0</v>
      </c>
      <c r="CZ68" s="29"/>
      <c r="DA68" s="29"/>
      <c r="DB68" s="29"/>
      <c r="DC68" s="29"/>
      <c r="DD68" s="29"/>
      <c r="DE68" s="32" t="s">
        <v>383</v>
      </c>
      <c r="DF68" s="32" t="s">
        <v>383</v>
      </c>
      <c r="DG68" s="31">
        <f>SUMIF(DG$4:DG$38,"Tentative",DM$4:DM$38)</f>
        <v>0</v>
      </c>
      <c r="DH68" s="31">
        <f>SUMIF(DH$4:DH$38,"Tentative",DM$4:DM$38)</f>
        <v>0</v>
      </c>
      <c r="DI68" s="31">
        <f>SUMIF(DI$4:DI$38,"Tentative",DM$4:DM$38)</f>
        <v>8</v>
      </c>
      <c r="DJ68" s="31"/>
      <c r="DK68" s="31">
        <f>SUMIF(DK$4:DK$38,"Tentative",DM$4:DM$38)</f>
        <v>34</v>
      </c>
      <c r="DL68" s="31">
        <f>SUMIF(DL$4:DL$38,"Tentative",DM$4:DM$38)</f>
        <v>34</v>
      </c>
      <c r="DM68" s="29"/>
      <c r="DN68" s="29"/>
      <c r="DO68" s="29"/>
      <c r="DP68" s="29"/>
      <c r="DQ68" s="29"/>
      <c r="DR68" s="32" t="s">
        <v>383</v>
      </c>
      <c r="DS68" s="32" t="s">
        <v>383</v>
      </c>
      <c r="DT68" s="31">
        <f>SUMIF(DT$4:DT$38,"Tentative",DZ$4:DZ$38)</f>
        <v>0</v>
      </c>
      <c r="DU68" s="31">
        <f>SUMIF(DU$4:DU$38,"Tentative",DZ$4:DZ$38)</f>
        <v>0</v>
      </c>
      <c r="DV68" s="31">
        <f>SUMIF(DV$4:DV$38,"Tentative",DZ$4:DZ$38)</f>
        <v>60</v>
      </c>
      <c r="DW68" s="31"/>
      <c r="DX68" s="31">
        <f>SUMIF(DX$4:DX$38,"Tentative",DZ$4:DZ$38)</f>
        <v>60</v>
      </c>
      <c r="DY68" s="31">
        <f>SUMIF(DY$4:DY$38,"Tentative",DZ$4:DZ$38)</f>
        <v>60</v>
      </c>
      <c r="DZ68" s="29"/>
      <c r="EA68" s="29"/>
      <c r="EB68" s="29"/>
      <c r="EC68" s="29"/>
      <c r="ED68" s="29"/>
      <c r="EE68" s="32" t="s">
        <v>383</v>
      </c>
      <c r="EF68" s="32" t="s">
        <v>383</v>
      </c>
      <c r="EG68" s="31">
        <f>SUMIF(EG$4:EG$38,"Tentative",EM$4:EM$38)</f>
        <v>0</v>
      </c>
      <c r="EH68" s="31">
        <f>SUMIF(EH$4:EH$38,"Tentative",EM$4:EM$38)</f>
        <v>0</v>
      </c>
      <c r="EI68" s="31">
        <f>SUMIF(EI$4:EI$38,"Tentative",EM$4:EM$38)</f>
        <v>75</v>
      </c>
      <c r="EJ68" s="31"/>
      <c r="EK68" s="31">
        <f>SUMIF(EK$4:EK$38,"Tentative",EM$4:EM$38)</f>
        <v>75</v>
      </c>
      <c r="EL68" s="31">
        <f>SUMIF(EL$4:EL$38,"Tentative",EM$4:EM$38)</f>
        <v>75</v>
      </c>
      <c r="EM68" s="29"/>
      <c r="EN68" s="29"/>
      <c r="EO68" s="29"/>
      <c r="EP68" s="29"/>
      <c r="EQ68" s="29"/>
      <c r="ER68" s="32" t="s">
        <v>383</v>
      </c>
      <c r="ES68" s="32" t="s">
        <v>383</v>
      </c>
      <c r="ET68" s="31">
        <f>SUMIF(ET$4:ET$38,"Tentative",EZ$4:EZ$38)</f>
        <v>0</v>
      </c>
      <c r="EU68" s="31">
        <f>SUMIF(EU$4:EU$38,"Tentative",EZ$4:EZ$38)</f>
        <v>0</v>
      </c>
      <c r="EV68" s="31">
        <f>SUMIF(EV$4:EV$38,"Tentative",EZ$4:EZ$38)</f>
        <v>238</v>
      </c>
      <c r="EW68" s="31"/>
      <c r="EX68" s="31">
        <f>SUMIF(EX$4:EX$38,"Tentative",EZ$4:EZ$38)</f>
        <v>238</v>
      </c>
      <c r="EY68" s="31">
        <f>SUMIF(EY$4:EY$38,"Tentative",EZ$4:EZ$38)</f>
        <v>238</v>
      </c>
      <c r="EZ68" s="33"/>
      <c r="FA68" s="33"/>
      <c r="FB68" s="36"/>
      <c r="FC68" s="45">
        <f>SUM(G$46, T$68, AG$68)</f>
        <v>0</v>
      </c>
      <c r="FD68" s="45">
        <f>SUM(H$46, U$68, AH$68)</f>
        <v>0</v>
      </c>
      <c r="FE68" s="45">
        <f>SUM(I$46, V$68, AI$68)</f>
        <v>0</v>
      </c>
      <c r="FF68" s="45">
        <f>SUM(K$46, X$68, AK$68)</f>
        <v>0</v>
      </c>
      <c r="FG68" s="45">
        <f>SUM(L$46, Y$68, AL$68)</f>
        <v>0</v>
      </c>
      <c r="FH68" s="47">
        <f>SUM(AT$68,BG$68,BT$68)</f>
        <v>0</v>
      </c>
      <c r="FI68" s="47">
        <f>SUM(AU$68,BH$68,BU$68)</f>
        <v>0</v>
      </c>
      <c r="FJ68" s="47">
        <f>SUM(AV$68,BI$68,BV$68)</f>
        <v>0</v>
      </c>
      <c r="FK68" s="47">
        <f>SUM(AX$68,BK$68,BX$68)</f>
        <v>0</v>
      </c>
      <c r="FL68" s="47">
        <f>SUM(AY$68,BL$68,BY$68)</f>
        <v>0</v>
      </c>
      <c r="FM68" s="45">
        <f>SUM(CG$68,CT$68,DG$68)</f>
        <v>0</v>
      </c>
      <c r="FN68" s="45">
        <f>SUM(CH$68,CU$68,DH$68)</f>
        <v>0</v>
      </c>
      <c r="FO68" s="45">
        <f>SUM(CI$68,CV$68,DI$68)</f>
        <v>21</v>
      </c>
      <c r="FP68" s="45">
        <f>SUM(CK$68,CX$68,DK$68)</f>
        <v>34</v>
      </c>
      <c r="FQ68" s="45">
        <f>SUM(CL$68,CY$68,DL$68)</f>
        <v>34</v>
      </c>
      <c r="FR68" s="47">
        <f>SUM(DT$68,EG$68,ET$68)</f>
        <v>0</v>
      </c>
      <c r="FS68" s="47">
        <f>SUM(DU$68,EH$68,EU$68)</f>
        <v>0</v>
      </c>
      <c r="FT68" s="47">
        <f>SUM(DV$68,EI$68,EV$68)</f>
        <v>373</v>
      </c>
      <c r="FU68" s="47">
        <f>SUM(DX$68,EK$68,EX$68)</f>
        <v>373</v>
      </c>
      <c r="FV68" s="47">
        <f>SUM(DY$68,EL$68,EY$68)</f>
        <v>373</v>
      </c>
      <c r="FW68" s="36"/>
      <c r="FX68" s="51"/>
      <c r="FY68" s="51"/>
      <c r="FZ68" s="51"/>
      <c r="GA68" s="51"/>
      <c r="GB68" s="36"/>
      <c r="GC68" s="41">
        <f>SUM(FX68:GA68)</f>
        <v>0</v>
      </c>
      <c r="GD68" s="36"/>
      <c r="GE68" s="36"/>
      <c r="GF68" s="36"/>
      <c r="GG68" s="36"/>
      <c r="GH68" s="36"/>
      <c r="GI68" s="36"/>
      <c r="GJ68" s="36"/>
      <c r="GK68" s="36"/>
      <c r="GL68" s="36"/>
      <c r="GM68" s="36"/>
      <c r="GN68" s="36"/>
      <c r="GO68" s="36"/>
      <c r="GP68" s="36"/>
      <c r="GQ68" s="36"/>
      <c r="GR68" s="36"/>
      <c r="GS68" s="36"/>
      <c r="GT68" s="36"/>
      <c r="GU68" s="36"/>
      <c r="GV68" s="36"/>
      <c r="GW68" s="36"/>
      <c r="GX68" s="36"/>
      <c r="GY68" s="36"/>
      <c r="GZ68" s="36"/>
      <c r="HA68" s="36"/>
      <c r="HB68" s="36"/>
      <c r="HC68" s="36"/>
      <c r="HD68" s="36"/>
      <c r="HE68" s="36"/>
      <c r="HF68" s="36"/>
      <c r="HG68" s="36"/>
      <c r="HH68" s="36"/>
      <c r="HI68" s="36"/>
      <c r="HJ68" s="36"/>
      <c r="HK68" s="36"/>
      <c r="HL68" s="36"/>
      <c r="HM68" s="36"/>
      <c r="HN68" s="36"/>
      <c r="HO68" s="36"/>
      <c r="HP68" s="36"/>
      <c r="HQ68" s="36"/>
      <c r="HR68" s="36"/>
      <c r="HS68" s="36"/>
      <c r="HT68" s="36"/>
      <c r="HU68" s="36"/>
      <c r="HV68" s="36"/>
      <c r="HW68" s="36"/>
      <c r="HX68" s="36"/>
      <c r="HY68" s="36"/>
      <c r="HZ68" s="36"/>
      <c r="IA68" s="36"/>
    </row>
    <row r="69" spans="1:235">
      <c r="A69" s="42" t="s">
        <v>1607</v>
      </c>
      <c r="B69" s="28"/>
      <c r="C69" s="29"/>
      <c r="D69" s="29"/>
      <c r="E69" s="28"/>
      <c r="F69" s="28"/>
      <c r="G69" s="28"/>
      <c r="H69" s="28"/>
      <c r="I69" s="28"/>
      <c r="J69" s="28"/>
      <c r="K69" s="28"/>
      <c r="L69" s="28"/>
      <c r="M69" s="31" t="e">
        <f>SUMIF(C$5:C$38,"CEE",M$5:M$38)</f>
        <v>#REF!</v>
      </c>
      <c r="N69" s="34"/>
      <c r="O69" s="29"/>
      <c r="P69" s="29"/>
      <c r="Q69" s="29"/>
      <c r="R69" s="33"/>
      <c r="S69" s="33"/>
      <c r="T69" s="34"/>
      <c r="U69" s="34"/>
      <c r="V69" s="34"/>
      <c r="W69" s="34"/>
      <c r="X69" s="34"/>
      <c r="Y69" s="34"/>
      <c r="Z69" s="31" t="e">
        <f>SUMIF(P$5:P$38,"CEE",Z$5:Z$38)</f>
        <v>#REF!</v>
      </c>
      <c r="AA69" s="34"/>
      <c r="AB69" s="29"/>
      <c r="AC69" s="29"/>
      <c r="AD69" s="29"/>
      <c r="AE69" s="33"/>
      <c r="AF69" s="33"/>
      <c r="AG69" s="34"/>
      <c r="AH69" s="34"/>
      <c r="AI69" s="34"/>
      <c r="AJ69" s="34"/>
      <c r="AK69" s="34"/>
      <c r="AL69" s="34"/>
      <c r="AM69" s="31" t="e">
        <f>SUMIF(AC$5:AC$38,"CEE",AM$5:AM$38)</f>
        <v>#REF!</v>
      </c>
      <c r="AN69" s="34"/>
      <c r="AO69" s="29"/>
      <c r="AP69" s="29"/>
      <c r="AQ69" s="29"/>
      <c r="AR69" s="29"/>
      <c r="AS69" s="29"/>
      <c r="AT69" s="29"/>
      <c r="AU69" s="29"/>
      <c r="AV69" s="29"/>
      <c r="AW69" s="29"/>
      <c r="AX69" s="29"/>
      <c r="AY69" s="34"/>
      <c r="AZ69" s="31">
        <f>SUMIF(AP$5:AP$38,"CEE",AZ$5:AZ$38)</f>
        <v>0</v>
      </c>
      <c r="BA69" s="34"/>
      <c r="BB69" s="29"/>
      <c r="BC69" s="29"/>
      <c r="BD69" s="29"/>
      <c r="BE69" s="29"/>
      <c r="BF69" s="29"/>
      <c r="BG69" s="29"/>
      <c r="BH69" s="29"/>
      <c r="BI69" s="29"/>
      <c r="BJ69" s="29"/>
      <c r="BK69" s="29"/>
      <c r="BL69" s="34"/>
      <c r="BM69" s="31" t="e">
        <f>SUMIF(BC$5:BC$38,"CEE",BM$5:BM$38)</f>
        <v>#REF!</v>
      </c>
      <c r="BN69" s="34"/>
      <c r="BO69" s="29"/>
      <c r="BP69" s="29"/>
      <c r="BQ69" s="29"/>
      <c r="BR69" s="29"/>
      <c r="BS69" s="29"/>
      <c r="BT69" s="29"/>
      <c r="BU69" s="29"/>
      <c r="BV69" s="29"/>
      <c r="BW69" s="29"/>
      <c r="BX69" s="29"/>
      <c r="BY69" s="29"/>
      <c r="BZ69" s="31">
        <f>SUMIF(BP$5:BP$38,"CEE",BZ$5:BZ$38)</f>
        <v>0</v>
      </c>
      <c r="CA69" s="34"/>
      <c r="CB69" s="29"/>
      <c r="CC69" s="29"/>
      <c r="CD69" s="33"/>
      <c r="CE69" s="29"/>
      <c r="CF69" s="29"/>
      <c r="CG69" s="29"/>
      <c r="CH69" s="29"/>
      <c r="CI69" s="29"/>
      <c r="CJ69" s="29"/>
      <c r="CK69" s="29"/>
      <c r="CL69" s="29"/>
      <c r="CM69" s="31" t="e">
        <f>SUMIF(CC$5:CC$38,"CEE",CM$5:CM$38)</f>
        <v>#REF!</v>
      </c>
      <c r="CN69" s="34"/>
      <c r="CO69" s="33"/>
      <c r="CP69" s="33"/>
      <c r="CQ69" s="33"/>
      <c r="CR69" s="29"/>
      <c r="CS69" s="29"/>
      <c r="CT69" s="29"/>
      <c r="CU69" s="29"/>
      <c r="CV69" s="29"/>
      <c r="CW69" s="29"/>
      <c r="CX69" s="29"/>
      <c r="CY69" s="29"/>
      <c r="CZ69" s="31" t="e">
        <f>SUMIF(CP$7:CP$37,"CEE",CZ$7:CZ$37)</f>
        <v>#REF!</v>
      </c>
      <c r="DA69" s="34"/>
      <c r="DB69" s="33"/>
      <c r="DC69" s="33"/>
      <c r="DD69" s="33"/>
      <c r="DE69" s="29"/>
      <c r="DF69" s="29"/>
      <c r="DG69" s="29"/>
      <c r="DH69" s="29"/>
      <c r="DI69" s="29"/>
      <c r="DJ69" s="29"/>
      <c r="DK69" s="29"/>
      <c r="DL69" s="29"/>
      <c r="DM69" s="31">
        <f>SUMIF(DC$5:DC$38,"CEE",DM$5:DM$38)</f>
        <v>0</v>
      </c>
      <c r="DN69" s="34"/>
      <c r="DO69" s="33"/>
      <c r="DP69" s="33"/>
      <c r="DQ69" s="33"/>
      <c r="DR69" s="29"/>
      <c r="DS69" s="29"/>
      <c r="DT69" s="29"/>
      <c r="DU69" s="29"/>
      <c r="DV69" s="29"/>
      <c r="DW69" s="29"/>
      <c r="DX69" s="29"/>
      <c r="DY69" s="29"/>
      <c r="DZ69" s="31" t="e">
        <f>SUMIF(DP$5:DP$38,"CEE",DZ$5:DZ$38)</f>
        <v>#REF!</v>
      </c>
      <c r="EA69" s="34"/>
      <c r="EB69" s="33"/>
      <c r="EC69" s="33"/>
      <c r="ED69" s="33"/>
      <c r="EE69" s="29"/>
      <c r="EF69" s="29"/>
      <c r="EG69" s="29"/>
      <c r="EH69" s="29"/>
      <c r="EI69" s="29"/>
      <c r="EJ69" s="29"/>
      <c r="EK69" s="29"/>
      <c r="EL69" s="29"/>
      <c r="EM69" s="31" t="e">
        <f>SUMIF(EC$5:EC$38,"CEE",EM$5:EM$38)</f>
        <v>#REF!</v>
      </c>
      <c r="EN69" s="34"/>
      <c r="EO69" s="33"/>
      <c r="EP69" s="33"/>
      <c r="EQ69" s="33"/>
      <c r="ER69" s="29"/>
      <c r="ES69" s="29"/>
      <c r="ET69" s="29"/>
      <c r="EU69" s="29"/>
      <c r="EV69" s="29"/>
      <c r="EW69" s="29"/>
      <c r="EX69" s="29"/>
      <c r="EY69" s="29"/>
      <c r="EZ69" s="31" t="e">
        <f>SUMIF(EP$5:EP$38,"CEE",EZ$5:EZ$38)</f>
        <v>#REF!</v>
      </c>
      <c r="FA69" s="34"/>
      <c r="FB69" s="36"/>
      <c r="FC69" s="52" t="e">
        <f>SUM(FC65:FC68)</f>
        <v>#REF!</v>
      </c>
      <c r="FD69" s="52" t="e">
        <f t="shared" ref="FD69:FV69" si="6">SUM(FD65:FD68)</f>
        <v>#REF!</v>
      </c>
      <c r="FE69" s="52" t="e">
        <f t="shared" si="6"/>
        <v>#REF!</v>
      </c>
      <c r="FF69" s="52" t="e">
        <f t="shared" si="6"/>
        <v>#REF!</v>
      </c>
      <c r="FG69" s="52" t="e">
        <f t="shared" si="6"/>
        <v>#REF!</v>
      </c>
      <c r="FH69" s="52">
        <f t="shared" si="6"/>
        <v>829</v>
      </c>
      <c r="FI69" s="52">
        <f t="shared" si="6"/>
        <v>805</v>
      </c>
      <c r="FJ69" s="52">
        <f t="shared" si="6"/>
        <v>805</v>
      </c>
      <c r="FK69" s="52">
        <f t="shared" si="6"/>
        <v>805</v>
      </c>
      <c r="FL69" s="52">
        <f t="shared" si="6"/>
        <v>805</v>
      </c>
      <c r="FM69" s="52">
        <f>SUM(FM65:FM68)</f>
        <v>733</v>
      </c>
      <c r="FN69" s="52">
        <f t="shared" si="6"/>
        <v>696</v>
      </c>
      <c r="FO69" s="52">
        <f t="shared" si="6"/>
        <v>696</v>
      </c>
      <c r="FP69" s="52">
        <f t="shared" si="6"/>
        <v>696</v>
      </c>
      <c r="FQ69" s="52">
        <f t="shared" si="6"/>
        <v>696</v>
      </c>
      <c r="FR69" s="52">
        <f t="shared" si="6"/>
        <v>910</v>
      </c>
      <c r="FS69" s="52">
        <f t="shared" si="6"/>
        <v>836</v>
      </c>
      <c r="FT69" s="52">
        <f t="shared" si="6"/>
        <v>836</v>
      </c>
      <c r="FU69" s="52">
        <f t="shared" si="6"/>
        <v>836</v>
      </c>
      <c r="FV69" s="52">
        <f t="shared" si="6"/>
        <v>836</v>
      </c>
      <c r="FW69" s="36"/>
      <c r="FX69" s="29" t="e">
        <f t="shared" si="2"/>
        <v>#REF!</v>
      </c>
      <c r="FY69" s="29" t="e">
        <f t="shared" ref="FY69:FY86" si="7">SUM(AZ69,BM69,BZ69)</f>
        <v>#REF!</v>
      </c>
      <c r="FZ69" s="29" t="e">
        <f t="shared" ref="FZ69:FZ86" si="8">SUM(CM69,CZ69,DM69)</f>
        <v>#REF!</v>
      </c>
      <c r="GA69" s="29" t="e">
        <f t="shared" ref="GA69:GA86" si="9">SUM(DZ69,EM69,EZ69)</f>
        <v>#REF!</v>
      </c>
      <c r="GB69" s="36"/>
      <c r="GC69" s="41" t="e">
        <f t="shared" si="0"/>
        <v>#REF!</v>
      </c>
      <c r="GD69" s="36"/>
      <c r="GE69" s="36"/>
      <c r="GF69" s="36"/>
      <c r="GG69" s="36"/>
      <c r="GH69" s="36"/>
      <c r="GI69" s="36"/>
      <c r="GJ69" s="36"/>
      <c r="GK69" s="36"/>
      <c r="GL69" s="36"/>
      <c r="GM69" s="36"/>
      <c r="GN69" s="36"/>
      <c r="GO69" s="36"/>
      <c r="GP69" s="36"/>
      <c r="GQ69" s="36"/>
      <c r="GR69" s="36"/>
      <c r="GS69" s="36"/>
      <c r="GT69" s="36"/>
      <c r="GU69" s="36"/>
      <c r="GV69" s="36"/>
      <c r="GW69" s="36"/>
      <c r="GX69" s="36"/>
      <c r="GY69" s="36"/>
      <c r="GZ69" s="36"/>
      <c r="HA69" s="36"/>
      <c r="HB69" s="36"/>
      <c r="HC69" s="36"/>
      <c r="HD69" s="36"/>
      <c r="HE69" s="36"/>
      <c r="HF69" s="36"/>
      <c r="HG69" s="36"/>
      <c r="HH69" s="36"/>
      <c r="HI69" s="36"/>
      <c r="HJ69" s="36"/>
      <c r="HK69" s="36"/>
      <c r="HL69" s="36"/>
      <c r="HM69" s="36"/>
      <c r="HN69" s="36"/>
      <c r="HO69" s="36"/>
      <c r="HP69" s="36"/>
      <c r="HQ69" s="36"/>
      <c r="HR69" s="36"/>
      <c r="HS69" s="36"/>
      <c r="HT69" s="36"/>
      <c r="HU69" s="36"/>
      <c r="HV69" s="36"/>
      <c r="HW69" s="36"/>
      <c r="HX69" s="36"/>
      <c r="HY69" s="36"/>
      <c r="HZ69" s="36"/>
      <c r="IA69" s="36"/>
    </row>
    <row r="70" spans="1:235">
      <c r="A70" s="42" t="s">
        <v>1608</v>
      </c>
      <c r="B70" s="28"/>
      <c r="C70" s="29"/>
      <c r="D70" s="29"/>
      <c r="E70" s="28"/>
      <c r="F70" s="28"/>
      <c r="G70" s="28"/>
      <c r="H70" s="28"/>
      <c r="I70" s="28"/>
      <c r="J70" s="28"/>
      <c r="K70" s="28"/>
      <c r="L70" s="28"/>
      <c r="M70" s="31">
        <f>SUMIF(C$5:C$38,"CIC China",M$5:M$38)</f>
        <v>0</v>
      </c>
      <c r="N70" s="34"/>
      <c r="O70" s="29"/>
      <c r="P70" s="29"/>
      <c r="Q70" s="29"/>
      <c r="R70" s="33"/>
      <c r="S70" s="33"/>
      <c r="T70" s="34"/>
      <c r="U70" s="34"/>
      <c r="V70" s="34"/>
      <c r="W70" s="34"/>
      <c r="X70" s="34"/>
      <c r="Y70" s="34"/>
      <c r="Z70" s="31">
        <f>SUMIF(P$5:P$38,"CIC China",Z$5:Z$38)</f>
        <v>0</v>
      </c>
      <c r="AA70" s="34"/>
      <c r="AB70" s="29"/>
      <c r="AC70" s="29"/>
      <c r="AD70" s="29"/>
      <c r="AE70" s="33"/>
      <c r="AF70" s="33"/>
      <c r="AG70" s="34"/>
      <c r="AH70" s="34"/>
      <c r="AI70" s="34"/>
      <c r="AJ70" s="34"/>
      <c r="AK70" s="34"/>
      <c r="AL70" s="34"/>
      <c r="AM70" s="31">
        <f>SUMIF(AC$5:AC$38,"CIC China",AM$5:AM$38)</f>
        <v>0</v>
      </c>
      <c r="AN70" s="34"/>
      <c r="AO70" s="29"/>
      <c r="AP70" s="29"/>
      <c r="AQ70" s="29"/>
      <c r="AR70" s="29"/>
      <c r="AS70" s="29"/>
      <c r="AT70" s="29"/>
      <c r="AU70" s="29"/>
      <c r="AV70" s="29"/>
      <c r="AW70" s="29"/>
      <c r="AX70" s="29"/>
      <c r="AY70" s="34"/>
      <c r="AZ70" s="31">
        <f>SUMIF(AP$5:AP$38,"CIC China",AZ$5:AZ$38)</f>
        <v>0</v>
      </c>
      <c r="BA70" s="34"/>
      <c r="BB70" s="29"/>
      <c r="BC70" s="29"/>
      <c r="BD70" s="29"/>
      <c r="BE70" s="29"/>
      <c r="BF70" s="29"/>
      <c r="BG70" s="29"/>
      <c r="BH70" s="29"/>
      <c r="BI70" s="29"/>
      <c r="BJ70" s="29"/>
      <c r="BK70" s="29"/>
      <c r="BL70" s="34"/>
      <c r="BM70" s="31">
        <f>SUMIF(BC$5:BC$38,"CIC China",BM$5:BM$38)</f>
        <v>41</v>
      </c>
      <c r="BN70" s="34"/>
      <c r="BO70" s="29"/>
      <c r="BP70" s="29"/>
      <c r="BQ70" s="29"/>
      <c r="BR70" s="29"/>
      <c r="BS70" s="29"/>
      <c r="BT70" s="29"/>
      <c r="BU70" s="29"/>
      <c r="BV70" s="29"/>
      <c r="BW70" s="29"/>
      <c r="BX70" s="29"/>
      <c r="BY70" s="29"/>
      <c r="BZ70" s="31">
        <f>SUMIF(BP$5:BP$38,"CIC China",BZ$5:BZ$38)</f>
        <v>0</v>
      </c>
      <c r="CA70" s="34"/>
      <c r="CB70" s="29"/>
      <c r="CC70" s="29"/>
      <c r="CD70" s="33"/>
      <c r="CE70" s="33"/>
      <c r="CF70" s="33"/>
      <c r="CG70" s="33"/>
      <c r="CH70" s="33"/>
      <c r="CI70" s="33"/>
      <c r="CJ70" s="33"/>
      <c r="CK70" s="33"/>
      <c r="CL70" s="33"/>
      <c r="CM70" s="31">
        <f>SUMIF(CC$5:CC$38,"CIC China",CM$5:CM$38)</f>
        <v>16</v>
      </c>
      <c r="CN70" s="34"/>
      <c r="CO70" s="33"/>
      <c r="CP70" s="33"/>
      <c r="CQ70" s="33"/>
      <c r="CR70" s="33"/>
      <c r="CS70" s="33"/>
      <c r="CT70" s="33"/>
      <c r="CU70" s="33"/>
      <c r="CV70" s="33"/>
      <c r="CW70" s="33"/>
      <c r="CX70" s="33"/>
      <c r="CY70" s="34"/>
      <c r="CZ70" s="31">
        <f>SUMIF(CP$7:CP$37,"CIC China",CZ$7:CZ$37)</f>
        <v>0</v>
      </c>
      <c r="DA70" s="34"/>
      <c r="DB70" s="33"/>
      <c r="DC70" s="33"/>
      <c r="DD70" s="33"/>
      <c r="DE70" s="33"/>
      <c r="DF70" s="33"/>
      <c r="DG70" s="33"/>
      <c r="DH70" s="33"/>
      <c r="DI70" s="33"/>
      <c r="DJ70" s="33"/>
      <c r="DK70" s="33"/>
      <c r="DL70" s="34"/>
      <c r="DM70" s="31">
        <f>SUMIF(DC$5:DC$38,"CIC China",DM$5:DM$38)</f>
        <v>0</v>
      </c>
      <c r="DN70" s="34"/>
      <c r="DO70" s="33"/>
      <c r="DP70" s="33"/>
      <c r="DQ70" s="33"/>
      <c r="DR70" s="33"/>
      <c r="DS70" s="33"/>
      <c r="DT70" s="33"/>
      <c r="DU70" s="33"/>
      <c r="DV70" s="33"/>
      <c r="DW70" s="33"/>
      <c r="DX70" s="34"/>
      <c r="DY70" s="34"/>
      <c r="DZ70" s="31">
        <f>SUMIF(DP$5:DP$38,"CIC China",DZ$5:DZ$38)</f>
        <v>150</v>
      </c>
      <c r="EA70" s="34"/>
      <c r="EB70" s="33"/>
      <c r="EC70" s="33"/>
      <c r="ED70" s="33"/>
      <c r="EE70" s="33"/>
      <c r="EF70" s="33"/>
      <c r="EG70" s="33"/>
      <c r="EH70" s="33"/>
      <c r="EI70" s="33"/>
      <c r="EJ70" s="33"/>
      <c r="EK70" s="33"/>
      <c r="EL70" s="34"/>
      <c r="EM70" s="31">
        <f>SUMIF(EC$5:EC$38,"CIC China",EM$5:EM$38)</f>
        <v>0</v>
      </c>
      <c r="EN70" s="34"/>
      <c r="EO70" s="33"/>
      <c r="EP70" s="33"/>
      <c r="EQ70" s="33"/>
      <c r="ER70" s="33"/>
      <c r="ES70" s="33"/>
      <c r="ET70" s="33"/>
      <c r="EU70" s="33"/>
      <c r="EV70" s="33"/>
      <c r="EW70" s="33"/>
      <c r="EX70" s="33"/>
      <c r="EY70" s="34"/>
      <c r="EZ70" s="31">
        <f>SUMIF(EP$5:EP$38,"CIC China",EZ$5:EZ$38)</f>
        <v>0</v>
      </c>
      <c r="FA70" s="34"/>
      <c r="FB70" s="36"/>
      <c r="FC70" s="48"/>
      <c r="FD70" s="48"/>
      <c r="FE70" s="48"/>
      <c r="FF70" s="48"/>
      <c r="FG70" s="48"/>
      <c r="FH70" s="48"/>
      <c r="FI70" s="48"/>
      <c r="FJ70" s="48"/>
      <c r="FK70" s="48"/>
      <c r="FL70" s="48"/>
      <c r="FM70" s="48"/>
      <c r="FN70" s="48"/>
      <c r="FO70" s="48"/>
      <c r="FP70" s="48"/>
      <c r="FQ70" s="48"/>
      <c r="FR70" s="48"/>
      <c r="FS70" s="48"/>
      <c r="FT70" s="48"/>
      <c r="FU70" s="48"/>
      <c r="FV70" s="48"/>
      <c r="FW70" s="36"/>
      <c r="FX70" s="29">
        <f t="shared" si="2"/>
        <v>0</v>
      </c>
      <c r="FY70" s="29">
        <f t="shared" si="7"/>
        <v>41</v>
      </c>
      <c r="FZ70" s="29">
        <f t="shared" si="8"/>
        <v>16</v>
      </c>
      <c r="GA70" s="29">
        <f t="shared" si="9"/>
        <v>150</v>
      </c>
      <c r="GB70" s="36"/>
      <c r="GC70" s="41">
        <f t="shared" si="0"/>
        <v>207</v>
      </c>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6"/>
      <c r="HC70" s="36"/>
      <c r="HD70" s="36"/>
      <c r="HE70" s="36"/>
      <c r="HF70" s="36"/>
      <c r="HG70" s="36"/>
      <c r="HH70" s="36"/>
      <c r="HI70" s="36"/>
      <c r="HJ70" s="36"/>
      <c r="HK70" s="36"/>
      <c r="HL70" s="36"/>
      <c r="HM70" s="36"/>
      <c r="HN70" s="36"/>
      <c r="HO70" s="36"/>
      <c r="HP70" s="36"/>
      <c r="HQ70" s="36"/>
      <c r="HR70" s="36"/>
      <c r="HS70" s="36"/>
      <c r="HT70" s="36"/>
      <c r="HU70" s="36"/>
      <c r="HV70" s="36"/>
      <c r="HW70" s="36"/>
      <c r="HX70" s="36"/>
      <c r="HY70" s="36"/>
      <c r="HZ70" s="36"/>
      <c r="IA70" s="36"/>
    </row>
    <row r="71" spans="1:235">
      <c r="A71" s="42" t="s">
        <v>1609</v>
      </c>
      <c r="B71" s="28"/>
      <c r="C71" s="29"/>
      <c r="D71" s="29"/>
      <c r="E71" s="28"/>
      <c r="F71" s="28"/>
      <c r="G71" s="28"/>
      <c r="H71" s="28"/>
      <c r="I71" s="28"/>
      <c r="J71" s="28"/>
      <c r="K71" s="28"/>
      <c r="L71" s="28"/>
      <c r="M71" s="31">
        <f>SUMIF(C$5:C$38,"India",M$5:M$38)</f>
        <v>215</v>
      </c>
      <c r="N71" s="34"/>
      <c r="O71" s="29"/>
      <c r="P71" s="29"/>
      <c r="Q71" s="29"/>
      <c r="R71" s="33"/>
      <c r="S71" s="33"/>
      <c r="T71" s="34"/>
      <c r="U71" s="34"/>
      <c r="V71" s="34"/>
      <c r="W71" s="34"/>
      <c r="X71" s="34"/>
      <c r="Y71" s="34"/>
      <c r="Z71" s="31">
        <f>SUMIF(P$5:P$38,"India",Z$5:Z$38)</f>
        <v>329</v>
      </c>
      <c r="AA71" s="34"/>
      <c r="AB71" s="29"/>
      <c r="AC71" s="29"/>
      <c r="AD71" s="29"/>
      <c r="AE71" s="33"/>
      <c r="AF71" s="33"/>
      <c r="AG71" s="34"/>
      <c r="AH71" s="34"/>
      <c r="AI71" s="34"/>
      <c r="AJ71" s="34"/>
      <c r="AK71" s="34"/>
      <c r="AL71" s="34"/>
      <c r="AM71" s="31">
        <f>SUMIF(AC$5:AC$38,"India",AM$5:AM$38)</f>
        <v>79</v>
      </c>
      <c r="AN71" s="34"/>
      <c r="AO71" s="29"/>
      <c r="AP71" s="29"/>
      <c r="AQ71" s="29"/>
      <c r="AR71" s="29"/>
      <c r="AS71" s="29"/>
      <c r="AT71" s="29"/>
      <c r="AU71" s="29"/>
      <c r="AV71" s="29"/>
      <c r="AW71" s="29"/>
      <c r="AX71" s="29"/>
      <c r="AY71" s="34"/>
      <c r="AZ71" s="31">
        <f>SUMIF(AP$5:AP$38,"India",AZ$5:AZ$38)</f>
        <v>81</v>
      </c>
      <c r="BA71" s="34"/>
      <c r="BB71" s="29"/>
      <c r="BC71" s="29"/>
      <c r="BD71" s="29"/>
      <c r="BE71" s="29"/>
      <c r="BF71" s="29"/>
      <c r="BG71" s="29"/>
      <c r="BH71" s="29"/>
      <c r="BI71" s="29"/>
      <c r="BJ71" s="29"/>
      <c r="BK71" s="29"/>
      <c r="BL71" s="34"/>
      <c r="BM71" s="31">
        <f>SUMIF(BC$5:BC$38,"India",BM$5:BM$38)</f>
        <v>0</v>
      </c>
      <c r="BN71" s="34"/>
      <c r="BO71" s="29"/>
      <c r="BP71" s="29"/>
      <c r="BQ71" s="29"/>
      <c r="BR71" s="29"/>
      <c r="BS71" s="29"/>
      <c r="BT71" s="29"/>
      <c r="BU71" s="29"/>
      <c r="BV71" s="29"/>
      <c r="BW71" s="29"/>
      <c r="BX71" s="29"/>
      <c r="BY71" s="29"/>
      <c r="BZ71" s="31">
        <f>SUMIF(BP$5:BP$38,"India",BZ$5:BZ$38)</f>
        <v>0</v>
      </c>
      <c r="CA71" s="34"/>
      <c r="CB71" s="29"/>
      <c r="CC71" s="29"/>
      <c r="CD71" s="33"/>
      <c r="CE71" s="33"/>
      <c r="CF71" s="33"/>
      <c r="CG71" s="33"/>
      <c r="CH71" s="33"/>
      <c r="CI71" s="33"/>
      <c r="CJ71" s="33"/>
      <c r="CK71" s="33"/>
      <c r="CL71" s="33"/>
      <c r="CM71" s="31">
        <f>SUMIF(CC$5:CC$38,"India",CM$5:CM$38)</f>
        <v>0</v>
      </c>
      <c r="CN71" s="34"/>
      <c r="CO71" s="33"/>
      <c r="CP71" s="33"/>
      <c r="CQ71" s="33"/>
      <c r="CR71" s="33"/>
      <c r="CS71" s="33"/>
      <c r="CT71" s="33"/>
      <c r="CU71" s="33"/>
      <c r="CV71" s="33"/>
      <c r="CW71" s="33"/>
      <c r="CX71" s="33"/>
      <c r="CY71" s="34"/>
      <c r="CZ71" s="31" t="e">
        <f>SUMIF(CP$7:CP$37,"India",CZ$7:CZ$37)</f>
        <v>#REF!</v>
      </c>
      <c r="DA71" s="34"/>
      <c r="DB71" s="33"/>
      <c r="DC71" s="33"/>
      <c r="DD71" s="33"/>
      <c r="DE71" s="33"/>
      <c r="DF71" s="33"/>
      <c r="DG71" s="33"/>
      <c r="DH71" s="33"/>
      <c r="DI71" s="33"/>
      <c r="DJ71" s="33"/>
      <c r="DK71" s="33"/>
      <c r="DL71" s="34"/>
      <c r="DM71" s="31" t="e">
        <f>SUMIF(DC$5:DC$38,"India",DM$5:DM$38)</f>
        <v>#REF!</v>
      </c>
      <c r="DN71" s="34"/>
      <c r="DO71" s="33"/>
      <c r="DP71" s="33"/>
      <c r="DQ71" s="33"/>
      <c r="DR71" s="33"/>
      <c r="DS71" s="33"/>
      <c r="DT71" s="33"/>
      <c r="DU71" s="33"/>
      <c r="DV71" s="33"/>
      <c r="DW71" s="33"/>
      <c r="DX71" s="34"/>
      <c r="DY71" s="34"/>
      <c r="DZ71" s="31">
        <f>SUMIF(DP$5:DP$38,"India",DZ$5:DZ$38)</f>
        <v>168</v>
      </c>
      <c r="EA71" s="34"/>
      <c r="EB71" s="33"/>
      <c r="EC71" s="33"/>
      <c r="ED71" s="33"/>
      <c r="EE71" s="33"/>
      <c r="EF71" s="33"/>
      <c r="EG71" s="33"/>
      <c r="EH71" s="33"/>
      <c r="EI71" s="33"/>
      <c r="EJ71" s="33"/>
      <c r="EK71" s="33"/>
      <c r="EL71" s="34"/>
      <c r="EM71" s="31" t="e">
        <f>SUMIF(EC$5:EC$38,"India",EM$5:EM$38)</f>
        <v>#REF!</v>
      </c>
      <c r="EN71" s="34"/>
      <c r="EO71" s="33"/>
      <c r="EP71" s="33"/>
      <c r="EQ71" s="33"/>
      <c r="ER71" s="33"/>
      <c r="ES71" s="33"/>
      <c r="ET71" s="33"/>
      <c r="EU71" s="33"/>
      <c r="EV71" s="33"/>
      <c r="EW71" s="33"/>
      <c r="EX71" s="33"/>
      <c r="EY71" s="34"/>
      <c r="EZ71" s="31">
        <f>SUMIF(EP$5:EP$38,"India",EZ$5:EZ$38)</f>
        <v>0</v>
      </c>
      <c r="FA71" s="34"/>
      <c r="FB71" s="36"/>
      <c r="FC71" s="48"/>
      <c r="FD71" s="48"/>
      <c r="FE71" s="48"/>
      <c r="FF71" s="48"/>
      <c r="FG71" s="48"/>
      <c r="FH71" s="48"/>
      <c r="FI71" s="48"/>
      <c r="FJ71" s="48"/>
      <c r="FK71" s="48"/>
      <c r="FL71" s="48"/>
      <c r="FM71" s="48"/>
      <c r="FN71" s="48"/>
      <c r="FO71" s="48"/>
      <c r="FP71" s="48"/>
      <c r="FQ71" s="48"/>
      <c r="FR71" s="48"/>
      <c r="FS71" s="48"/>
      <c r="FT71" s="48"/>
      <c r="FU71" s="48"/>
      <c r="FV71" s="48"/>
      <c r="FW71" s="36"/>
      <c r="FX71" s="29">
        <f t="shared" si="2"/>
        <v>623</v>
      </c>
      <c r="FY71" s="29">
        <f t="shared" si="7"/>
        <v>81</v>
      </c>
      <c r="FZ71" s="29" t="e">
        <f t="shared" si="8"/>
        <v>#REF!</v>
      </c>
      <c r="GA71" s="29" t="e">
        <f t="shared" si="9"/>
        <v>#REF!</v>
      </c>
      <c r="GB71" s="36"/>
      <c r="GC71" s="41" t="e">
        <f t="shared" si="0"/>
        <v>#REF!</v>
      </c>
      <c r="GD71" s="36"/>
      <c r="GE71" s="36"/>
      <c r="GF71" s="36"/>
      <c r="GG71" s="36"/>
      <c r="GH71" s="36"/>
      <c r="GI71" s="36"/>
      <c r="GJ71" s="36"/>
      <c r="GK71" s="36"/>
      <c r="GL71" s="36"/>
      <c r="GM71" s="36"/>
      <c r="GN71" s="36"/>
      <c r="GO71" s="36"/>
      <c r="GP71" s="36"/>
      <c r="GQ71" s="36"/>
      <c r="GR71" s="36"/>
      <c r="GS71" s="36"/>
      <c r="GT71" s="36"/>
      <c r="GU71" s="36"/>
      <c r="GV71" s="36"/>
      <c r="GW71" s="36"/>
      <c r="GX71" s="36"/>
      <c r="GY71" s="36"/>
      <c r="GZ71" s="36"/>
      <c r="HA71" s="36"/>
      <c r="HB71" s="36"/>
      <c r="HC71" s="36"/>
      <c r="HD71" s="36"/>
      <c r="HE71" s="36"/>
      <c r="HF71" s="36"/>
      <c r="HG71" s="36"/>
      <c r="HH71" s="36"/>
      <c r="HI71" s="36"/>
      <c r="HJ71" s="36"/>
      <c r="HK71" s="36"/>
      <c r="HL71" s="36"/>
      <c r="HM71" s="36"/>
      <c r="HN71" s="36"/>
      <c r="HO71" s="36"/>
      <c r="HP71" s="36"/>
      <c r="HQ71" s="36"/>
      <c r="HR71" s="36"/>
      <c r="HS71" s="36"/>
      <c r="HT71" s="36"/>
      <c r="HU71" s="36"/>
      <c r="HV71" s="36"/>
      <c r="HW71" s="36"/>
      <c r="HX71" s="36"/>
      <c r="HY71" s="36"/>
      <c r="HZ71" s="36"/>
      <c r="IA71" s="36"/>
    </row>
    <row r="72" spans="1:235">
      <c r="A72" s="42" t="s">
        <v>1610</v>
      </c>
      <c r="B72" s="28"/>
      <c r="C72" s="29"/>
      <c r="D72" s="29"/>
      <c r="E72" s="28"/>
      <c r="F72" s="28"/>
      <c r="G72" s="28"/>
      <c r="H72" s="28"/>
      <c r="I72" s="28"/>
      <c r="J72" s="28"/>
      <c r="K72" s="28"/>
      <c r="L72" s="28"/>
      <c r="M72" s="31">
        <f>SUMIF(C$5:C$38,"LA",M$5:M$38)</f>
        <v>0</v>
      </c>
      <c r="N72" s="34"/>
      <c r="O72" s="29"/>
      <c r="P72" s="29"/>
      <c r="Q72" s="29"/>
      <c r="R72" s="33"/>
      <c r="S72" s="33"/>
      <c r="T72" s="34"/>
      <c r="U72" s="34"/>
      <c r="V72" s="34"/>
      <c r="W72" s="34"/>
      <c r="X72" s="34"/>
      <c r="Y72" s="34"/>
      <c r="Z72" s="31">
        <f>SUMIF(P$5:P$38,"LA",Z$5:Z$38)</f>
        <v>0</v>
      </c>
      <c r="AA72" s="34"/>
      <c r="AB72" s="29"/>
      <c r="AC72" s="29"/>
      <c r="AD72" s="29"/>
      <c r="AE72" s="33"/>
      <c r="AF72" s="33"/>
      <c r="AG72" s="34"/>
      <c r="AH72" s="34"/>
      <c r="AI72" s="34"/>
      <c r="AJ72" s="34"/>
      <c r="AK72" s="34"/>
      <c r="AL72" s="34"/>
      <c r="AM72" s="31">
        <f>SUMIF(AC$5:AC$38,"LA",AM$5:AM$38)</f>
        <v>0</v>
      </c>
      <c r="AN72" s="34"/>
      <c r="AO72" s="29"/>
      <c r="AP72" s="29"/>
      <c r="AQ72" s="29"/>
      <c r="AR72" s="29"/>
      <c r="AS72" s="29"/>
      <c r="AT72" s="29"/>
      <c r="AU72" s="29"/>
      <c r="AV72" s="29"/>
      <c r="AW72" s="29"/>
      <c r="AX72" s="29"/>
      <c r="AY72" s="34"/>
      <c r="AZ72" s="31">
        <f>SUMIF(AP$5:AP$38,"LA",AZ$5:AZ$38)</f>
        <v>0</v>
      </c>
      <c r="BA72" s="34"/>
      <c r="BB72" s="29"/>
      <c r="BC72" s="29"/>
      <c r="BD72" s="29"/>
      <c r="BE72" s="29"/>
      <c r="BF72" s="29"/>
      <c r="BG72" s="29"/>
      <c r="BH72" s="29"/>
      <c r="BI72" s="29"/>
      <c r="BJ72" s="29"/>
      <c r="BK72" s="29"/>
      <c r="BL72" s="34"/>
      <c r="BM72" s="31">
        <f>SUMIF(BC$5:BC$38,"LA",BM$5:BM$38)</f>
        <v>48</v>
      </c>
      <c r="BN72" s="34"/>
      <c r="BO72" s="29"/>
      <c r="BP72" s="29"/>
      <c r="BQ72" s="29"/>
      <c r="BR72" s="29"/>
      <c r="BS72" s="29"/>
      <c r="BT72" s="29"/>
      <c r="BU72" s="29"/>
      <c r="BV72" s="29"/>
      <c r="BW72" s="29"/>
      <c r="BX72" s="29"/>
      <c r="BY72" s="29"/>
      <c r="BZ72" s="31">
        <f>SUMIF(BP$5:BP$38,"LA",BZ$5:BZ$38)</f>
        <v>48</v>
      </c>
      <c r="CA72" s="34"/>
      <c r="CB72" s="29"/>
      <c r="CC72" s="29"/>
      <c r="CD72" s="33"/>
      <c r="CE72" s="33"/>
      <c r="CF72" s="33"/>
      <c r="CG72" s="33"/>
      <c r="CH72" s="33"/>
      <c r="CI72" s="33"/>
      <c r="CJ72" s="33"/>
      <c r="CK72" s="33"/>
      <c r="CL72" s="33"/>
      <c r="CM72" s="31">
        <f>SUMIF(CC$5:CC$38,"LA",CM$5:CM$38)</f>
        <v>93</v>
      </c>
      <c r="CN72" s="34"/>
      <c r="CO72" s="33"/>
      <c r="CP72" s="33"/>
      <c r="CQ72" s="33"/>
      <c r="CR72" s="33"/>
      <c r="CS72" s="33"/>
      <c r="CT72" s="33"/>
      <c r="CU72" s="33"/>
      <c r="CV72" s="33"/>
      <c r="CW72" s="33"/>
      <c r="CX72" s="33"/>
      <c r="CY72" s="34"/>
      <c r="CZ72" s="31" t="e">
        <f>SUMIF(CP$7:CP$37,"LA",CZ$7:CZ$37)</f>
        <v>#REF!</v>
      </c>
      <c r="DA72" s="34"/>
      <c r="DB72" s="33"/>
      <c r="DC72" s="33"/>
      <c r="DD72" s="33"/>
      <c r="DE72" s="33"/>
      <c r="DF72" s="33"/>
      <c r="DG72" s="33"/>
      <c r="DH72" s="33"/>
      <c r="DI72" s="33"/>
      <c r="DJ72" s="33"/>
      <c r="DK72" s="33"/>
      <c r="DL72" s="34"/>
      <c r="DM72" s="31">
        <f>SUMIF(DC$5:DC$38,"LA",DM$5:DM$38)</f>
        <v>11</v>
      </c>
      <c r="DN72" s="34"/>
      <c r="DO72" s="33"/>
      <c r="DP72" s="33"/>
      <c r="DQ72" s="33"/>
      <c r="DR72" s="33"/>
      <c r="DS72" s="33"/>
      <c r="DT72" s="33"/>
      <c r="DU72" s="33"/>
      <c r="DV72" s="33"/>
      <c r="DW72" s="33"/>
      <c r="DX72" s="34"/>
      <c r="DY72" s="34"/>
      <c r="DZ72" s="31">
        <f>SUMIF(DP$5:DP$38,"LA",DZ$5:DZ$38)</f>
        <v>60</v>
      </c>
      <c r="EA72" s="34"/>
      <c r="EB72" s="33"/>
      <c r="EC72" s="33"/>
      <c r="ED72" s="33"/>
      <c r="EE72" s="33"/>
      <c r="EF72" s="33"/>
      <c r="EG72" s="33"/>
      <c r="EH72" s="33"/>
      <c r="EI72" s="33"/>
      <c r="EJ72" s="33"/>
      <c r="EK72" s="33"/>
      <c r="EL72" s="34"/>
      <c r="EM72" s="31">
        <f>SUMIF(EC$5:EC$38,"LA",EM$5:EM$38)</f>
        <v>75</v>
      </c>
      <c r="EN72" s="34"/>
      <c r="EO72" s="33"/>
      <c r="EP72" s="33"/>
      <c r="EQ72" s="33"/>
      <c r="ER72" s="33"/>
      <c r="ES72" s="33"/>
      <c r="ET72" s="33"/>
      <c r="EU72" s="33"/>
      <c r="EV72" s="33"/>
      <c r="EW72" s="33"/>
      <c r="EX72" s="33"/>
      <c r="EY72" s="34"/>
      <c r="EZ72" s="31" t="e">
        <f>SUMIF(EP$5:EP$38,"LA",EZ$5:EZ$38)</f>
        <v>#REF!</v>
      </c>
      <c r="FA72" s="34"/>
      <c r="FB72" s="36"/>
      <c r="FC72" s="48"/>
      <c r="FD72" s="48"/>
      <c r="FE72" s="48"/>
      <c r="FF72" s="48"/>
      <c r="FG72" s="48"/>
      <c r="FH72" s="48"/>
      <c r="FI72" s="48"/>
      <c r="FJ72" s="48"/>
      <c r="FK72" s="48"/>
      <c r="FL72" s="48"/>
      <c r="FM72" s="48"/>
      <c r="FN72" s="48"/>
      <c r="FO72" s="48"/>
      <c r="FP72" s="48"/>
      <c r="FQ72" s="48"/>
      <c r="FR72" s="48"/>
      <c r="FS72" s="48"/>
      <c r="FT72" s="48"/>
      <c r="FU72" s="48"/>
      <c r="FV72" s="48"/>
      <c r="FW72" s="36"/>
      <c r="FX72" s="29">
        <f t="shared" si="2"/>
        <v>0</v>
      </c>
      <c r="FY72" s="29">
        <f t="shared" si="7"/>
        <v>96</v>
      </c>
      <c r="FZ72" s="29" t="e">
        <f t="shared" si="8"/>
        <v>#REF!</v>
      </c>
      <c r="GA72" s="29" t="e">
        <f t="shared" si="9"/>
        <v>#REF!</v>
      </c>
      <c r="GB72" s="36"/>
      <c r="GC72" s="41" t="e">
        <f t="shared" si="0"/>
        <v>#REF!</v>
      </c>
      <c r="GD72" s="36"/>
      <c r="GE72" s="36"/>
      <c r="GF72" s="36"/>
      <c r="GG72" s="36"/>
      <c r="GH72" s="36"/>
      <c r="GI72" s="36"/>
      <c r="GJ72" s="36"/>
      <c r="GK72" s="36"/>
      <c r="GL72" s="36"/>
      <c r="GM72" s="36"/>
      <c r="GN72" s="36"/>
      <c r="GO72" s="36"/>
      <c r="GP72" s="36"/>
      <c r="GQ72" s="36"/>
      <c r="GR72" s="36"/>
      <c r="GS72" s="36"/>
      <c r="GT72" s="36"/>
      <c r="GU72" s="36"/>
      <c r="GV72" s="36"/>
      <c r="GW72" s="36"/>
      <c r="GX72" s="36"/>
      <c r="GY72" s="36"/>
      <c r="GZ72" s="36"/>
      <c r="HA72" s="36"/>
      <c r="HB72" s="36"/>
      <c r="HC72" s="36"/>
      <c r="HD72" s="36"/>
      <c r="HE72" s="36"/>
      <c r="HF72" s="36"/>
      <c r="HG72" s="36"/>
      <c r="HH72" s="36"/>
      <c r="HI72" s="36"/>
      <c r="HJ72" s="36"/>
      <c r="HK72" s="36"/>
      <c r="HL72" s="36"/>
      <c r="HM72" s="36"/>
      <c r="HN72" s="36"/>
      <c r="HO72" s="36"/>
      <c r="HP72" s="36"/>
      <c r="HQ72" s="36"/>
      <c r="HR72" s="36"/>
      <c r="HS72" s="36"/>
      <c r="HT72" s="36"/>
      <c r="HU72" s="36"/>
      <c r="HV72" s="36"/>
      <c r="HW72" s="36"/>
      <c r="HX72" s="36"/>
      <c r="HY72" s="36"/>
      <c r="HZ72" s="36"/>
      <c r="IA72" s="36"/>
    </row>
    <row r="73" spans="1:235">
      <c r="A73" s="42" t="s">
        <v>1611</v>
      </c>
      <c r="B73" s="28"/>
      <c r="C73" s="29"/>
      <c r="D73" s="29"/>
      <c r="E73" s="28"/>
      <c r="F73" s="28"/>
      <c r="G73" s="28"/>
      <c r="H73" s="28"/>
      <c r="I73" s="28"/>
      <c r="J73" s="28"/>
      <c r="K73" s="28"/>
      <c r="L73" s="28"/>
      <c r="M73" s="31">
        <f>SUMIF(C$5:C$38,"CIC MEA",M$5:M$38)</f>
        <v>0</v>
      </c>
      <c r="N73" s="34"/>
      <c r="O73" s="29"/>
      <c r="P73" s="29"/>
      <c r="Q73" s="29"/>
      <c r="R73" s="33"/>
      <c r="S73" s="33"/>
      <c r="T73" s="34"/>
      <c r="U73" s="34"/>
      <c r="V73" s="34"/>
      <c r="W73" s="34"/>
      <c r="X73" s="34"/>
      <c r="Y73" s="34"/>
      <c r="Z73" s="31">
        <f>SUMIF(P$5:P$38,"CIC MEA",Z$5:Z$38)</f>
        <v>0</v>
      </c>
      <c r="AA73" s="34"/>
      <c r="AB73" s="29"/>
      <c r="AC73" s="29"/>
      <c r="AD73" s="29"/>
      <c r="AE73" s="33"/>
      <c r="AF73" s="33"/>
      <c r="AG73" s="34"/>
      <c r="AH73" s="34"/>
      <c r="AI73" s="34"/>
      <c r="AJ73" s="34"/>
      <c r="AK73" s="34"/>
      <c r="AL73" s="34"/>
      <c r="AM73" s="31">
        <f>SUMIF(AC$5:AC$38,"CIC MEA",AM$5:AM$38)</f>
        <v>0</v>
      </c>
      <c r="AN73" s="34"/>
      <c r="AO73" s="29"/>
      <c r="AP73" s="29"/>
      <c r="AQ73" s="29"/>
      <c r="AR73" s="29"/>
      <c r="AS73" s="29"/>
      <c r="AT73" s="29"/>
      <c r="AU73" s="29"/>
      <c r="AV73" s="29"/>
      <c r="AW73" s="29"/>
      <c r="AX73" s="29"/>
      <c r="AY73" s="34"/>
      <c r="AZ73" s="31">
        <f>SUMIF(AP$5:AP$38,"CIC MEA",AZ$5:AZ$38)</f>
        <v>0</v>
      </c>
      <c r="BA73" s="34"/>
      <c r="BB73" s="29"/>
      <c r="BC73" s="29"/>
      <c r="BD73" s="29"/>
      <c r="BE73" s="29"/>
      <c r="BF73" s="29"/>
      <c r="BG73" s="29"/>
      <c r="BH73" s="29"/>
      <c r="BI73" s="29"/>
      <c r="BJ73" s="29"/>
      <c r="BK73" s="29"/>
      <c r="BL73" s="34"/>
      <c r="BM73" s="31">
        <f>SUMIF(BC$5:BC$38,"CIC MEA",BM$5:BM$38)</f>
        <v>0</v>
      </c>
      <c r="BN73" s="34"/>
      <c r="BO73" s="29"/>
      <c r="BP73" s="29"/>
      <c r="BQ73" s="29"/>
      <c r="BR73" s="29"/>
      <c r="BS73" s="29"/>
      <c r="BT73" s="29"/>
      <c r="BU73" s="29"/>
      <c r="BV73" s="29"/>
      <c r="BW73" s="29"/>
      <c r="BX73" s="29"/>
      <c r="BY73" s="29"/>
      <c r="BZ73" s="31">
        <f>SUMIF(BP$5:BP$38,"CIC MEA",BZ$5:BZ$38)</f>
        <v>0</v>
      </c>
      <c r="CA73" s="34"/>
      <c r="CB73" s="29"/>
      <c r="CC73" s="29"/>
      <c r="CD73" s="33"/>
      <c r="CE73" s="33"/>
      <c r="CF73" s="33"/>
      <c r="CG73" s="33"/>
      <c r="CH73" s="33"/>
      <c r="CI73" s="33"/>
      <c r="CJ73" s="33"/>
      <c r="CK73" s="33"/>
      <c r="CL73" s="33"/>
      <c r="CM73" s="31">
        <f>SUMIF(CC$5:CC$38,"CIC MEA",CM$5:CM$38)</f>
        <v>0</v>
      </c>
      <c r="CN73" s="34"/>
      <c r="CO73" s="33"/>
      <c r="CP73" s="33"/>
      <c r="CQ73" s="33"/>
      <c r="CR73" s="33"/>
      <c r="CS73" s="33"/>
      <c r="CT73" s="33"/>
      <c r="CU73" s="33"/>
      <c r="CV73" s="33"/>
      <c r="CW73" s="33"/>
      <c r="CX73" s="33"/>
      <c r="CY73" s="34"/>
      <c r="CZ73" s="31">
        <f>SUMIF(CP$7:CP$37,"CIC MEA",CZ$7:CZ$37)</f>
        <v>0</v>
      </c>
      <c r="DA73" s="34"/>
      <c r="DB73" s="33"/>
      <c r="DC73" s="33"/>
      <c r="DD73" s="33"/>
      <c r="DE73" s="33"/>
      <c r="DF73" s="33"/>
      <c r="DG73" s="33"/>
      <c r="DH73" s="33"/>
      <c r="DI73" s="33"/>
      <c r="DJ73" s="33"/>
      <c r="DK73" s="33"/>
      <c r="DL73" s="34"/>
      <c r="DM73" s="31" t="e">
        <f>SUMIF(DC$5:DC$38,"CIC MEA",DM$5:DM$38)</f>
        <v>#REF!</v>
      </c>
      <c r="DN73" s="34"/>
      <c r="DO73" s="33"/>
      <c r="DP73" s="33"/>
      <c r="DQ73" s="33"/>
      <c r="DR73" s="33"/>
      <c r="DS73" s="33"/>
      <c r="DT73" s="33"/>
      <c r="DU73" s="33"/>
      <c r="DV73" s="33"/>
      <c r="DW73" s="33"/>
      <c r="DX73" s="34"/>
      <c r="DY73" s="34"/>
      <c r="DZ73" s="31">
        <f>SUMIF(DP$5:DP$38,"CIC MEA",DZ$5:DZ$38)</f>
        <v>0</v>
      </c>
      <c r="EA73" s="34"/>
      <c r="EB73" s="33"/>
      <c r="EC73" s="33"/>
      <c r="ED73" s="33"/>
      <c r="EE73" s="33"/>
      <c r="EF73" s="33"/>
      <c r="EG73" s="33"/>
      <c r="EH73" s="33"/>
      <c r="EI73" s="33"/>
      <c r="EJ73" s="33"/>
      <c r="EK73" s="33"/>
      <c r="EL73" s="34"/>
      <c r="EM73" s="31" t="e">
        <f>SUMIF(EC$5:EC$38,"CIC MEA",EM$5:EM$38)</f>
        <v>#REF!</v>
      </c>
      <c r="EN73" s="34"/>
      <c r="EO73" s="33"/>
      <c r="EP73" s="33"/>
      <c r="EQ73" s="33"/>
      <c r="ER73" s="33"/>
      <c r="ES73" s="33"/>
      <c r="ET73" s="33"/>
      <c r="EU73" s="33"/>
      <c r="EV73" s="33"/>
      <c r="EW73" s="33"/>
      <c r="EX73" s="33"/>
      <c r="EY73" s="34"/>
      <c r="EZ73" s="31" t="e">
        <f>SUMIF(EP$5:EP$38,"CIC MEA",EZ$5:EZ$38)</f>
        <v>#REF!</v>
      </c>
      <c r="FA73" s="34"/>
      <c r="FB73" s="36"/>
      <c r="FC73" s="48"/>
      <c r="FD73" s="48"/>
      <c r="FE73" s="48"/>
      <c r="FF73" s="48"/>
      <c r="FG73" s="48"/>
      <c r="FH73" s="48"/>
      <c r="FI73" s="48"/>
      <c r="FJ73" s="48"/>
      <c r="FK73" s="48"/>
      <c r="FL73" s="48"/>
      <c r="FM73" s="48"/>
      <c r="FN73" s="48"/>
      <c r="FO73" s="48"/>
      <c r="FP73" s="48"/>
      <c r="FQ73" s="48"/>
      <c r="FR73" s="48"/>
      <c r="FS73" s="48"/>
      <c r="FT73" s="48"/>
      <c r="FU73" s="48"/>
      <c r="FV73" s="48"/>
      <c r="FW73" s="36"/>
      <c r="FX73" s="29">
        <f t="shared" si="2"/>
        <v>0</v>
      </c>
      <c r="FY73" s="29">
        <f t="shared" si="7"/>
        <v>0</v>
      </c>
      <c r="FZ73" s="29" t="e">
        <f t="shared" si="8"/>
        <v>#REF!</v>
      </c>
      <c r="GA73" s="29" t="e">
        <f t="shared" si="9"/>
        <v>#REF!</v>
      </c>
      <c r="GB73" s="36"/>
      <c r="GC73" s="41" t="e">
        <f t="shared" si="0"/>
        <v>#REF!</v>
      </c>
      <c r="GD73" s="36"/>
      <c r="GE73" s="36"/>
      <c r="GF73" s="36"/>
      <c r="GG73" s="36"/>
      <c r="GH73" s="36"/>
      <c r="GI73" s="36"/>
      <c r="GJ73" s="36"/>
      <c r="GK73" s="36"/>
      <c r="GL73" s="36"/>
      <c r="GM73" s="36"/>
      <c r="GN73" s="36"/>
      <c r="GO73" s="36"/>
      <c r="GP73" s="36"/>
      <c r="GQ73" s="36"/>
      <c r="GR73" s="36"/>
      <c r="GS73" s="36"/>
      <c r="GT73" s="36"/>
      <c r="GU73" s="36"/>
      <c r="GV73" s="36"/>
      <c r="GW73" s="36"/>
      <c r="GX73" s="36"/>
      <c r="GY73" s="36"/>
      <c r="GZ73" s="36"/>
      <c r="HA73" s="36"/>
      <c r="HB73" s="36"/>
      <c r="HC73" s="36"/>
      <c r="HD73" s="36"/>
      <c r="HE73" s="36"/>
      <c r="HF73" s="36"/>
      <c r="HG73" s="36"/>
      <c r="HH73" s="36"/>
      <c r="HI73" s="36"/>
      <c r="HJ73" s="36"/>
      <c r="HK73" s="36"/>
      <c r="HL73" s="36"/>
      <c r="HM73" s="36"/>
      <c r="HN73" s="36"/>
      <c r="HO73" s="36"/>
      <c r="HP73" s="36"/>
      <c r="HQ73" s="36"/>
      <c r="HR73" s="36"/>
      <c r="HS73" s="36"/>
      <c r="HT73" s="36"/>
      <c r="HU73" s="36"/>
      <c r="HV73" s="36"/>
      <c r="HW73" s="36"/>
      <c r="HX73" s="36"/>
      <c r="HY73" s="36"/>
      <c r="HZ73" s="36"/>
      <c r="IA73" s="36"/>
    </row>
    <row r="74" spans="1:235">
      <c r="A74" s="42" t="s">
        <v>1612</v>
      </c>
      <c r="B74" s="28"/>
      <c r="C74" s="29"/>
      <c r="D74" s="29"/>
      <c r="E74" s="28"/>
      <c r="F74" s="28"/>
      <c r="G74" s="28"/>
      <c r="H74" s="28"/>
      <c r="I74" s="28"/>
      <c r="J74" s="28"/>
      <c r="K74" s="28"/>
      <c r="L74" s="28"/>
      <c r="M74" s="31">
        <f>SUMIF(C$5:C$38,"CIC NA",M$5:M$38)</f>
        <v>30</v>
      </c>
      <c r="N74" s="34"/>
      <c r="O74" s="29"/>
      <c r="P74" s="29"/>
      <c r="Q74" s="29"/>
      <c r="R74" s="33"/>
      <c r="S74" s="33"/>
      <c r="T74" s="34"/>
      <c r="U74" s="34"/>
      <c r="V74" s="34"/>
      <c r="W74" s="34"/>
      <c r="X74" s="34"/>
      <c r="Y74" s="34"/>
      <c r="Z74" s="31">
        <f>SUMIF(P$5:P$38,"CIC NA",Z$5:Z$38)</f>
        <v>30</v>
      </c>
      <c r="AA74" s="34"/>
      <c r="AB74" s="29"/>
      <c r="AC74" s="29"/>
      <c r="AD74" s="29"/>
      <c r="AE74" s="33"/>
      <c r="AF74" s="33"/>
      <c r="AG74" s="34"/>
      <c r="AH74" s="34"/>
      <c r="AI74" s="34"/>
      <c r="AJ74" s="34"/>
      <c r="AK74" s="34"/>
      <c r="AL74" s="34"/>
      <c r="AM74" s="31">
        <f>SUMIF(AC$5:AC$38,"CIC NA",AM$5:AM$38)</f>
        <v>0</v>
      </c>
      <c r="AN74" s="34"/>
      <c r="AO74" s="29"/>
      <c r="AP74" s="29"/>
      <c r="AQ74" s="29"/>
      <c r="AR74" s="29"/>
      <c r="AS74" s="29"/>
      <c r="AT74" s="29"/>
      <c r="AU74" s="29"/>
      <c r="AV74" s="29"/>
      <c r="AW74" s="29"/>
      <c r="AX74" s="29"/>
      <c r="AY74" s="34"/>
      <c r="AZ74" s="31">
        <f>SUMIF(AP$5:AP$38,"CIC NA",AZ$5:AZ$38)</f>
        <v>17</v>
      </c>
      <c r="BA74" s="34"/>
      <c r="BB74" s="29"/>
      <c r="BC74" s="29"/>
      <c r="BD74" s="29"/>
      <c r="BE74" s="29"/>
      <c r="BF74" s="29"/>
      <c r="BG74" s="29"/>
      <c r="BH74" s="29"/>
      <c r="BI74" s="29"/>
      <c r="BJ74" s="29"/>
      <c r="BK74" s="29"/>
      <c r="BL74" s="34"/>
      <c r="BM74" s="31">
        <f>SUMIF(BC$5:BC$38,"CIC NA",BM$5:BM$38)</f>
        <v>0</v>
      </c>
      <c r="BN74" s="34"/>
      <c r="BO74" s="29"/>
      <c r="BP74" s="29"/>
      <c r="BQ74" s="29"/>
      <c r="BR74" s="29"/>
      <c r="BS74" s="29"/>
      <c r="BT74" s="29"/>
      <c r="BU74" s="29"/>
      <c r="BV74" s="29"/>
      <c r="BW74" s="29"/>
      <c r="BX74" s="29"/>
      <c r="BY74" s="29"/>
      <c r="BZ74" s="31">
        <f>SUMIF(BP$5:BP$38,"CIC NA",BZ$5:BZ$38)</f>
        <v>0</v>
      </c>
      <c r="CA74" s="34"/>
      <c r="CB74" s="29"/>
      <c r="CC74" s="29"/>
      <c r="CD74" s="33"/>
      <c r="CE74" s="33"/>
      <c r="CF74" s="33"/>
      <c r="CG74" s="33"/>
      <c r="CH74" s="33"/>
      <c r="CI74" s="33"/>
      <c r="CJ74" s="33"/>
      <c r="CK74" s="33"/>
      <c r="CL74" s="33"/>
      <c r="CM74" s="31">
        <f>SUMIF(CC$5:CC$38,"CIC NA",CM$5:CM$38)</f>
        <v>75</v>
      </c>
      <c r="CN74" s="34"/>
      <c r="CO74" s="33"/>
      <c r="CP74" s="33"/>
      <c r="CQ74" s="33"/>
      <c r="CR74" s="33"/>
      <c r="CS74" s="33"/>
      <c r="CT74" s="33"/>
      <c r="CU74" s="33"/>
      <c r="CV74" s="33"/>
      <c r="CW74" s="33"/>
      <c r="CX74" s="33"/>
      <c r="CY74" s="34"/>
      <c r="CZ74" s="31">
        <f>SUMIF(CP$7:CP$37,"CIC NA",CZ$7:CZ$37)</f>
        <v>0</v>
      </c>
      <c r="DA74" s="34"/>
      <c r="DB74" s="33"/>
      <c r="DC74" s="33"/>
      <c r="DD74" s="33"/>
      <c r="DE74" s="33"/>
      <c r="DF74" s="33"/>
      <c r="DG74" s="33"/>
      <c r="DH74" s="33"/>
      <c r="DI74" s="33"/>
      <c r="DJ74" s="33"/>
      <c r="DK74" s="33"/>
      <c r="DL74" s="34"/>
      <c r="DM74" s="31" t="e">
        <f>SUMIF(DC$5:DC$38,"CIC NA",DM$5:DM$38)</f>
        <v>#REF!</v>
      </c>
      <c r="DN74" s="34"/>
      <c r="DO74" s="33"/>
      <c r="DP74" s="33"/>
      <c r="DQ74" s="33"/>
      <c r="DR74" s="33"/>
      <c r="DS74" s="33"/>
      <c r="DT74" s="33"/>
      <c r="DU74" s="33"/>
      <c r="DV74" s="33"/>
      <c r="DW74" s="33"/>
      <c r="DX74" s="34"/>
      <c r="DY74" s="34"/>
      <c r="DZ74" s="31">
        <f>SUMIF(DP$5:DP$38,"CIC NA",DZ$5:DZ$38)</f>
        <v>0</v>
      </c>
      <c r="EA74" s="34"/>
      <c r="EB74" s="33"/>
      <c r="EC74" s="33"/>
      <c r="ED74" s="33"/>
      <c r="EE74" s="33"/>
      <c r="EF74" s="33"/>
      <c r="EG74" s="33"/>
      <c r="EH74" s="33"/>
      <c r="EI74" s="33"/>
      <c r="EJ74" s="33"/>
      <c r="EK74" s="33"/>
      <c r="EL74" s="34"/>
      <c r="EM74" s="31">
        <f>SUMIF(EC$5:EC$38,"CIC NA",EM$5:EM$38)</f>
        <v>0</v>
      </c>
      <c r="EN74" s="34"/>
      <c r="EO74" s="33"/>
      <c r="EP74" s="33"/>
      <c r="EQ74" s="33"/>
      <c r="ER74" s="33"/>
      <c r="ES74" s="33"/>
      <c r="ET74" s="33"/>
      <c r="EU74" s="33"/>
      <c r="EV74" s="33"/>
      <c r="EW74" s="33"/>
      <c r="EX74" s="33"/>
      <c r="EY74" s="34"/>
      <c r="EZ74" s="31">
        <f>SUMIF(EP$5:EP$38,"CIC NA",EZ$5:EZ$38)</f>
        <v>0</v>
      </c>
      <c r="FA74" s="34"/>
      <c r="FB74" s="36"/>
      <c r="FC74" s="48"/>
      <c r="FD74" s="48"/>
      <c r="FE74" s="48"/>
      <c r="FF74" s="48"/>
      <c r="FG74" s="48"/>
      <c r="FH74" s="48"/>
      <c r="FI74" s="48"/>
      <c r="FJ74" s="48"/>
      <c r="FK74" s="48"/>
      <c r="FL74" s="48"/>
      <c r="FM74" s="48"/>
      <c r="FN74" s="48"/>
      <c r="FO74" s="48"/>
      <c r="FP74" s="48"/>
      <c r="FQ74" s="48"/>
      <c r="FR74" s="48"/>
      <c r="FS74" s="48"/>
      <c r="FT74" s="48"/>
      <c r="FU74" s="48"/>
      <c r="FV74" s="48"/>
      <c r="FW74" s="36"/>
      <c r="FX74" s="29">
        <f t="shared" si="2"/>
        <v>60</v>
      </c>
      <c r="FY74" s="29">
        <f t="shared" si="7"/>
        <v>17</v>
      </c>
      <c r="FZ74" s="29" t="e">
        <f t="shared" si="8"/>
        <v>#REF!</v>
      </c>
      <c r="GA74" s="29">
        <f t="shared" si="9"/>
        <v>0</v>
      </c>
      <c r="GB74" s="36"/>
      <c r="GC74" s="41" t="e">
        <f t="shared" si="0"/>
        <v>#REF!</v>
      </c>
      <c r="GD74" s="36"/>
      <c r="GE74" s="36"/>
      <c r="GF74" s="36"/>
      <c r="GG74" s="36"/>
      <c r="GH74" s="36"/>
      <c r="GI74" s="36"/>
      <c r="GJ74" s="36"/>
      <c r="GK74" s="36"/>
      <c r="GL74" s="36"/>
      <c r="GM74" s="36"/>
      <c r="GN74" s="36"/>
      <c r="GO74" s="36"/>
      <c r="GP74" s="36"/>
      <c r="GQ74" s="36"/>
      <c r="GR74" s="36"/>
      <c r="GS74" s="36"/>
      <c r="GT74" s="36"/>
      <c r="GU74" s="36"/>
      <c r="GV74" s="36"/>
      <c r="GW74" s="36"/>
      <c r="GX74" s="36"/>
      <c r="GY74" s="36"/>
      <c r="GZ74" s="36"/>
      <c r="HA74" s="36"/>
      <c r="HB74" s="36"/>
      <c r="HC74" s="36"/>
      <c r="HD74" s="36"/>
      <c r="HE74" s="36"/>
      <c r="HF74" s="36"/>
      <c r="HG74" s="36"/>
      <c r="HH74" s="36"/>
      <c r="HI74" s="36"/>
      <c r="HJ74" s="36"/>
      <c r="HK74" s="36"/>
      <c r="HL74" s="36"/>
      <c r="HM74" s="36"/>
      <c r="HN74" s="36"/>
      <c r="HO74" s="36"/>
      <c r="HP74" s="36"/>
      <c r="HQ74" s="36"/>
      <c r="HR74" s="36"/>
      <c r="HS74" s="36"/>
      <c r="HT74" s="36"/>
      <c r="HU74" s="36"/>
      <c r="HV74" s="36"/>
      <c r="HW74" s="36"/>
      <c r="HX74" s="36"/>
      <c r="HY74" s="36"/>
      <c r="HZ74" s="36"/>
      <c r="IA74" s="36"/>
    </row>
    <row r="75" spans="1:235">
      <c r="A75" s="42" t="s">
        <v>1613</v>
      </c>
      <c r="B75" s="28"/>
      <c r="C75" s="29"/>
      <c r="D75" s="29"/>
      <c r="E75" s="28"/>
      <c r="F75" s="28"/>
      <c r="G75" s="28"/>
      <c r="H75" s="28"/>
      <c r="I75" s="28"/>
      <c r="J75" s="28"/>
      <c r="K75" s="28"/>
      <c r="L75" s="28"/>
      <c r="M75" s="31">
        <f>SUMIF(C$5:C$38,"PH",M$5:M$38)</f>
        <v>0</v>
      </c>
      <c r="N75" s="34"/>
      <c r="O75" s="29"/>
      <c r="P75" s="29"/>
      <c r="Q75" s="29"/>
      <c r="R75" s="33"/>
      <c r="S75" s="33"/>
      <c r="T75" s="34"/>
      <c r="U75" s="34"/>
      <c r="V75" s="34"/>
      <c r="W75" s="34"/>
      <c r="X75" s="34"/>
      <c r="Y75" s="34"/>
      <c r="Z75" s="31">
        <f>SUMIF(P$5:P$38,"PH",Z$5:Z$38)</f>
        <v>0</v>
      </c>
      <c r="AA75" s="34"/>
      <c r="AB75" s="29"/>
      <c r="AC75" s="29"/>
      <c r="AD75" s="29"/>
      <c r="AE75" s="33"/>
      <c r="AF75" s="33"/>
      <c r="AG75" s="34"/>
      <c r="AH75" s="34"/>
      <c r="AI75" s="34"/>
      <c r="AJ75" s="34"/>
      <c r="AK75" s="34"/>
      <c r="AL75" s="34"/>
      <c r="AM75" s="31">
        <f>SUMIF(AC$5:AC$38,"PH",AM$5:AM$38)</f>
        <v>0</v>
      </c>
      <c r="AN75" s="34"/>
      <c r="AO75" s="29"/>
      <c r="AP75" s="29"/>
      <c r="AQ75" s="29"/>
      <c r="AR75" s="29"/>
      <c r="AS75" s="29"/>
      <c r="AT75" s="29"/>
      <c r="AU75" s="29"/>
      <c r="AV75" s="29"/>
      <c r="AW75" s="29"/>
      <c r="AX75" s="29"/>
      <c r="AY75" s="34"/>
      <c r="AZ75" s="31">
        <f>SUMIF(AP$5:AP$38,"PH",AZ$5:AZ$38)</f>
        <v>0</v>
      </c>
      <c r="BA75" s="34"/>
      <c r="BB75" s="29"/>
      <c r="BC75" s="29"/>
      <c r="BD75" s="29"/>
      <c r="BE75" s="29"/>
      <c r="BF75" s="29"/>
      <c r="BG75" s="29"/>
      <c r="BH75" s="29"/>
      <c r="BI75" s="29"/>
      <c r="BJ75" s="29"/>
      <c r="BK75" s="29"/>
      <c r="BL75" s="34"/>
      <c r="BM75" s="31">
        <f>SUMIF(BC$5:BC$38,"PH",BM$5:BM$38)</f>
        <v>0</v>
      </c>
      <c r="BN75" s="34"/>
      <c r="BO75" s="29"/>
      <c r="BP75" s="29"/>
      <c r="BQ75" s="29"/>
      <c r="BR75" s="29"/>
      <c r="BS75" s="29"/>
      <c r="BT75" s="29"/>
      <c r="BU75" s="29"/>
      <c r="BV75" s="29"/>
      <c r="BW75" s="29"/>
      <c r="BX75" s="29"/>
      <c r="BY75" s="29"/>
      <c r="BZ75" s="31">
        <f>SUMIF(BP$5:BP$38,"PH",BZ$5:BZ$38)</f>
        <v>0</v>
      </c>
      <c r="CA75" s="34"/>
      <c r="CB75" s="29"/>
      <c r="CC75" s="29"/>
      <c r="CD75" s="33"/>
      <c r="CE75" s="33"/>
      <c r="CF75" s="33"/>
      <c r="CG75" s="33"/>
      <c r="CH75" s="33"/>
      <c r="CI75" s="33"/>
      <c r="CJ75" s="33"/>
      <c r="CK75" s="33"/>
      <c r="CL75" s="33"/>
      <c r="CM75" s="31">
        <f>SUMIF(CC$5:CC$38,"PH",CM$5:CM$38)</f>
        <v>0</v>
      </c>
      <c r="CN75" s="34"/>
      <c r="CO75" s="33"/>
      <c r="CP75" s="33"/>
      <c r="CQ75" s="33"/>
      <c r="CR75" s="33"/>
      <c r="CS75" s="33"/>
      <c r="CT75" s="33"/>
      <c r="CU75" s="33"/>
      <c r="CV75" s="33"/>
      <c r="CW75" s="33"/>
      <c r="CX75" s="33"/>
      <c r="CY75" s="34"/>
      <c r="CZ75" s="31" t="e">
        <f>SUMIF(CP$7:CP$37,"PH",CZ$7:CZ$37)</f>
        <v>#REF!</v>
      </c>
      <c r="DA75" s="34"/>
      <c r="DB75" s="33"/>
      <c r="DC75" s="33"/>
      <c r="DD75" s="33"/>
      <c r="DE75" s="33"/>
      <c r="DF75" s="33"/>
      <c r="DG75" s="33"/>
      <c r="DH75" s="33"/>
      <c r="DI75" s="33"/>
      <c r="DJ75" s="33"/>
      <c r="DK75" s="33"/>
      <c r="DL75" s="34"/>
      <c r="DM75" s="31">
        <f>SUMIF(DC$5:DC$38,"PH",DM$5:DM$38)</f>
        <v>0</v>
      </c>
      <c r="DN75" s="34"/>
      <c r="DO75" s="33"/>
      <c r="DP75" s="33"/>
      <c r="DQ75" s="33"/>
      <c r="DR75" s="33"/>
      <c r="DS75" s="33"/>
      <c r="DT75" s="33"/>
      <c r="DU75" s="33"/>
      <c r="DV75" s="33"/>
      <c r="DW75" s="33"/>
      <c r="DX75" s="34"/>
      <c r="DY75" s="34"/>
      <c r="DZ75" s="31" t="e">
        <f>SUMIF(DP$5:DP$38,"PH",DZ$5:DZ$38)</f>
        <v>#REF!</v>
      </c>
      <c r="EA75" s="34"/>
      <c r="EB75" s="33"/>
      <c r="EC75" s="33"/>
      <c r="ED75" s="33"/>
      <c r="EE75" s="33"/>
      <c r="EF75" s="33"/>
      <c r="EG75" s="33"/>
      <c r="EH75" s="33"/>
      <c r="EI75" s="33"/>
      <c r="EJ75" s="33"/>
      <c r="EK75" s="33"/>
      <c r="EL75" s="34"/>
      <c r="EM75" s="31">
        <f>SUMIF(EC$5:EC$38,"PH",EM$5:EM$38)</f>
        <v>0</v>
      </c>
      <c r="EN75" s="34"/>
      <c r="EO75" s="33"/>
      <c r="EP75" s="33"/>
      <c r="EQ75" s="33"/>
      <c r="ER75" s="33"/>
      <c r="ES75" s="33"/>
      <c r="ET75" s="33"/>
      <c r="EU75" s="33"/>
      <c r="EV75" s="33"/>
      <c r="EW75" s="33"/>
      <c r="EX75" s="33"/>
      <c r="EY75" s="34"/>
      <c r="EZ75" s="31">
        <f>SUMIF(EP$5:EP$38,"PH",EZ$5:EZ$38)</f>
        <v>0</v>
      </c>
      <c r="FA75" s="34"/>
      <c r="FB75" s="36"/>
      <c r="FC75" s="48"/>
      <c r="FD75" s="48"/>
      <c r="FE75" s="48"/>
      <c r="FF75" s="48"/>
      <c r="FG75" s="48"/>
      <c r="FH75" s="48"/>
      <c r="FI75" s="48"/>
      <c r="FJ75" s="48"/>
      <c r="FK75" s="48"/>
      <c r="FL75" s="48"/>
      <c r="FM75" s="48"/>
      <c r="FN75" s="48"/>
      <c r="FO75" s="48"/>
      <c r="FP75" s="48"/>
      <c r="FQ75" s="48"/>
      <c r="FR75" s="48"/>
      <c r="FS75" s="48"/>
      <c r="FT75" s="48"/>
      <c r="FU75" s="48"/>
      <c r="FV75" s="48"/>
      <c r="FW75" s="36"/>
      <c r="FX75" s="29">
        <f t="shared" si="2"/>
        <v>0</v>
      </c>
      <c r="FY75" s="29">
        <f t="shared" si="7"/>
        <v>0</v>
      </c>
      <c r="FZ75" s="29" t="e">
        <f t="shared" si="8"/>
        <v>#REF!</v>
      </c>
      <c r="GA75" s="29" t="e">
        <f t="shared" si="9"/>
        <v>#REF!</v>
      </c>
      <c r="GB75" s="36"/>
      <c r="GC75" s="41" t="e">
        <f t="shared" si="0"/>
        <v>#REF!</v>
      </c>
      <c r="GD75" s="36"/>
      <c r="GE75" s="36"/>
      <c r="GF75" s="36"/>
      <c r="GG75" s="36"/>
      <c r="GH75" s="36"/>
      <c r="GI75" s="36"/>
      <c r="GJ75" s="36"/>
      <c r="GK75" s="36"/>
      <c r="GL75" s="36"/>
      <c r="GM75" s="36"/>
      <c r="GN75" s="36"/>
      <c r="GO75" s="36"/>
      <c r="GP75" s="36"/>
      <c r="GQ75" s="36"/>
      <c r="GR75" s="36"/>
      <c r="GS75" s="36"/>
      <c r="GT75" s="36"/>
      <c r="GU75" s="36"/>
      <c r="GV75" s="36"/>
      <c r="GW75" s="36"/>
      <c r="GX75" s="36"/>
      <c r="GY75" s="36"/>
      <c r="GZ75" s="36"/>
      <c r="HA75" s="36"/>
      <c r="HB75" s="36"/>
      <c r="HC75" s="36"/>
      <c r="HD75" s="36"/>
      <c r="HE75" s="36"/>
      <c r="HF75" s="36"/>
      <c r="HG75" s="36"/>
      <c r="HH75" s="36"/>
      <c r="HI75" s="36"/>
      <c r="HJ75" s="36"/>
      <c r="HK75" s="36"/>
      <c r="HL75" s="36"/>
      <c r="HM75" s="36"/>
      <c r="HN75" s="36"/>
      <c r="HO75" s="36"/>
      <c r="HP75" s="36"/>
      <c r="HQ75" s="36"/>
      <c r="HR75" s="36"/>
      <c r="HS75" s="36"/>
      <c r="HT75" s="36"/>
      <c r="HU75" s="36"/>
      <c r="HV75" s="36"/>
      <c r="HW75" s="36"/>
      <c r="HX75" s="36"/>
      <c r="HY75" s="36"/>
      <c r="HZ75" s="36"/>
      <c r="IA75" s="36"/>
    </row>
    <row r="76" spans="1:235">
      <c r="A76" s="42" t="s">
        <v>1614</v>
      </c>
      <c r="B76" s="28"/>
      <c r="C76" s="29"/>
      <c r="D76" s="29"/>
      <c r="E76" s="28"/>
      <c r="F76" s="28"/>
      <c r="G76" s="28"/>
      <c r="H76" s="28"/>
      <c r="I76" s="28"/>
      <c r="J76" s="28"/>
      <c r="K76" s="28"/>
      <c r="L76" s="28"/>
      <c r="M76" s="31">
        <f>SUMIF(C$5:C$38,"CIC WE",M$5:M$38)</f>
        <v>0</v>
      </c>
      <c r="N76" s="34"/>
      <c r="O76" s="29"/>
      <c r="P76" s="29"/>
      <c r="Q76" s="29"/>
      <c r="R76" s="33"/>
      <c r="S76" s="33"/>
      <c r="T76" s="34"/>
      <c r="U76" s="34"/>
      <c r="V76" s="34"/>
      <c r="W76" s="34"/>
      <c r="X76" s="34"/>
      <c r="Y76" s="34"/>
      <c r="Z76" s="31">
        <f>SUMIF(P$5:P$38,"CIC WE",Z$5:Z$38)</f>
        <v>14</v>
      </c>
      <c r="AA76" s="34"/>
      <c r="AB76" s="29"/>
      <c r="AC76" s="29"/>
      <c r="AD76" s="29"/>
      <c r="AE76" s="33"/>
      <c r="AF76" s="33"/>
      <c r="AG76" s="34"/>
      <c r="AH76" s="34"/>
      <c r="AI76" s="34"/>
      <c r="AJ76" s="34"/>
      <c r="AK76" s="34"/>
      <c r="AL76" s="34"/>
      <c r="AM76" s="31">
        <f>SUMIF(AC$5:AC$38,"CIC WE",AM$5:AM$38)</f>
        <v>0</v>
      </c>
      <c r="AN76" s="34"/>
      <c r="AO76" s="29"/>
      <c r="AP76" s="29"/>
      <c r="AQ76" s="29"/>
      <c r="AR76" s="29"/>
      <c r="AS76" s="29"/>
      <c r="AT76" s="29"/>
      <c r="AU76" s="29"/>
      <c r="AV76" s="29"/>
      <c r="AW76" s="29"/>
      <c r="AX76" s="29"/>
      <c r="AY76" s="34"/>
      <c r="AZ76" s="31">
        <f>SUMIF(AP$5:AP$38,"CIC WE",AZ$5:AZ$38)</f>
        <v>0</v>
      </c>
      <c r="BA76" s="34"/>
      <c r="BB76" s="29"/>
      <c r="BC76" s="29"/>
      <c r="BD76" s="29"/>
      <c r="BE76" s="29"/>
      <c r="BF76" s="29"/>
      <c r="BG76" s="29"/>
      <c r="BH76" s="29"/>
      <c r="BI76" s="29"/>
      <c r="BJ76" s="29"/>
      <c r="BK76" s="29"/>
      <c r="BL76" s="34"/>
      <c r="BM76" s="31">
        <f>SUMIF(BC$5:BC$38,"CIC WE",BM$5:BM$38)</f>
        <v>0</v>
      </c>
      <c r="BN76" s="34"/>
      <c r="BO76" s="29"/>
      <c r="BP76" s="29"/>
      <c r="BQ76" s="29"/>
      <c r="BR76" s="29"/>
      <c r="BS76" s="29"/>
      <c r="BT76" s="29"/>
      <c r="BU76" s="29"/>
      <c r="BV76" s="29"/>
      <c r="BW76" s="29"/>
      <c r="BX76" s="29"/>
      <c r="BY76" s="29"/>
      <c r="BZ76" s="31">
        <f>SUMIF(BP$5:BP$38,"CIC WE",BZ$5:BZ$38)</f>
        <v>22</v>
      </c>
      <c r="CA76" s="34"/>
      <c r="CB76" s="29"/>
      <c r="CC76" s="29"/>
      <c r="CD76" s="33"/>
      <c r="CE76" s="33"/>
      <c r="CF76" s="33"/>
      <c r="CG76" s="33"/>
      <c r="CH76" s="33"/>
      <c r="CI76" s="33"/>
      <c r="CJ76" s="33"/>
      <c r="CK76" s="33"/>
      <c r="CL76" s="33"/>
      <c r="CM76" s="31">
        <f>SUMIF(CC$5:CC$38,"CIC WE",CM$5:CM$38)</f>
        <v>0</v>
      </c>
      <c r="CN76" s="34"/>
      <c r="CO76" s="33"/>
      <c r="CP76" s="33"/>
      <c r="CQ76" s="33"/>
      <c r="CR76" s="33"/>
      <c r="CS76" s="33"/>
      <c r="CT76" s="33"/>
      <c r="CU76" s="33"/>
      <c r="CV76" s="33"/>
      <c r="CW76" s="33"/>
      <c r="CX76" s="33"/>
      <c r="CY76" s="34"/>
      <c r="CZ76" s="31">
        <f>SUMIF(CP$7:CP$37,"CIC WE",CZ$7:CZ$37)</f>
        <v>0</v>
      </c>
      <c r="DA76" s="34"/>
      <c r="DB76" s="33"/>
      <c r="DC76" s="33"/>
      <c r="DD76" s="33"/>
      <c r="DE76" s="33"/>
      <c r="DF76" s="33"/>
      <c r="DG76" s="33"/>
      <c r="DH76" s="33"/>
      <c r="DI76" s="33"/>
      <c r="DJ76" s="33"/>
      <c r="DK76" s="33"/>
      <c r="DL76" s="34"/>
      <c r="DM76" s="31">
        <f>SUMIF(DC$5:DC$38,"CIC WE",DM$5:DM$38)</f>
        <v>19</v>
      </c>
      <c r="DN76" s="34"/>
      <c r="DO76" s="33"/>
      <c r="DP76" s="33"/>
      <c r="DQ76" s="33"/>
      <c r="DR76" s="33"/>
      <c r="DS76" s="33"/>
      <c r="DT76" s="33"/>
      <c r="DU76" s="33"/>
      <c r="DV76" s="33"/>
      <c r="DW76" s="33"/>
      <c r="DX76" s="34"/>
      <c r="DY76" s="34"/>
      <c r="DZ76" s="31">
        <f>SUMIF(DP$5:DP$38,"CIC WE",DZ$5:DZ$38)</f>
        <v>26</v>
      </c>
      <c r="EA76" s="34"/>
      <c r="EB76" s="33"/>
      <c r="EC76" s="33"/>
      <c r="ED76" s="33"/>
      <c r="EE76" s="33"/>
      <c r="EF76" s="33"/>
      <c r="EG76" s="33"/>
      <c r="EH76" s="33"/>
      <c r="EI76" s="33"/>
      <c r="EJ76" s="33"/>
      <c r="EK76" s="33"/>
      <c r="EL76" s="34"/>
      <c r="EM76" s="31">
        <f>SUMIF(EC$5:EC$38,"CIC WE",EM$5:EM$38)</f>
        <v>0</v>
      </c>
      <c r="EN76" s="34"/>
      <c r="EO76" s="33"/>
      <c r="EP76" s="33"/>
      <c r="EQ76" s="33"/>
      <c r="ER76" s="33"/>
      <c r="ES76" s="33"/>
      <c r="ET76" s="33"/>
      <c r="EU76" s="33"/>
      <c r="EV76" s="33"/>
      <c r="EW76" s="33"/>
      <c r="EX76" s="33"/>
      <c r="EY76" s="34"/>
      <c r="EZ76" s="31">
        <f>SUMIF(EP$5:EP$38,"CIC WE",EZ$5:EZ$38)</f>
        <v>0</v>
      </c>
      <c r="FA76" s="34"/>
      <c r="FB76" s="36"/>
      <c r="FC76" s="48"/>
      <c r="FD76" s="48"/>
      <c r="FE76" s="48"/>
      <c r="FF76" s="48"/>
      <c r="FG76" s="48"/>
      <c r="FH76" s="48"/>
      <c r="FI76" s="48"/>
      <c r="FJ76" s="48"/>
      <c r="FK76" s="48"/>
      <c r="FL76" s="48"/>
      <c r="FM76" s="48"/>
      <c r="FN76" s="48"/>
      <c r="FO76" s="48"/>
      <c r="FP76" s="48"/>
      <c r="FQ76" s="48"/>
      <c r="FR76" s="48"/>
      <c r="FS76" s="48"/>
      <c r="FT76" s="48"/>
      <c r="FU76" s="48"/>
      <c r="FV76" s="48"/>
      <c r="FW76" s="36"/>
      <c r="FX76" s="29">
        <f t="shared" si="2"/>
        <v>14</v>
      </c>
      <c r="FY76" s="29">
        <f t="shared" si="7"/>
        <v>22</v>
      </c>
      <c r="FZ76" s="29">
        <f t="shared" si="8"/>
        <v>19</v>
      </c>
      <c r="GA76" s="29">
        <f t="shared" si="9"/>
        <v>26</v>
      </c>
      <c r="GB76" s="36"/>
      <c r="GC76" s="41">
        <f t="shared" si="0"/>
        <v>81</v>
      </c>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6"/>
      <c r="HC76" s="36"/>
      <c r="HD76" s="36"/>
      <c r="HE76" s="36"/>
      <c r="HF76" s="36"/>
      <c r="HG76" s="36"/>
      <c r="HH76" s="36"/>
      <c r="HI76" s="36"/>
      <c r="HJ76" s="36"/>
      <c r="HK76" s="36"/>
      <c r="HL76" s="36"/>
      <c r="HM76" s="36"/>
      <c r="HN76" s="36"/>
      <c r="HO76" s="36"/>
      <c r="HP76" s="36"/>
      <c r="HQ76" s="36"/>
      <c r="HR76" s="36"/>
      <c r="HS76" s="36"/>
      <c r="HT76" s="36"/>
      <c r="HU76" s="36"/>
      <c r="HV76" s="36"/>
      <c r="HW76" s="36"/>
      <c r="HX76" s="36"/>
      <c r="HY76" s="36"/>
      <c r="HZ76" s="36"/>
      <c r="IA76" s="36"/>
    </row>
    <row r="77" spans="1:235">
      <c r="A77" s="42" t="s">
        <v>1615</v>
      </c>
      <c r="B77" s="28"/>
      <c r="C77" s="29"/>
      <c r="D77" s="29"/>
      <c r="E77" s="28"/>
      <c r="F77" s="28"/>
      <c r="G77" s="28"/>
      <c r="H77" s="28"/>
      <c r="I77" s="28"/>
      <c r="J77" s="28"/>
      <c r="K77" s="28"/>
      <c r="L77" s="28"/>
      <c r="M77" s="31" t="e">
        <f>SUMIF(C$5:C$38,"AP",M$5:M$38)</f>
        <v>#REF!</v>
      </c>
      <c r="N77" s="34"/>
      <c r="O77" s="29"/>
      <c r="P77" s="29"/>
      <c r="Q77" s="29"/>
      <c r="R77" s="33"/>
      <c r="S77" s="33"/>
      <c r="T77" s="34"/>
      <c r="U77" s="34"/>
      <c r="V77" s="34"/>
      <c r="W77" s="34"/>
      <c r="X77" s="34"/>
      <c r="Y77" s="34"/>
      <c r="Z77" s="31">
        <f>SUMIF(P$5:P$38,"AP",Z$5:Z$38)</f>
        <v>23</v>
      </c>
      <c r="AA77" s="34"/>
      <c r="AB77" s="29"/>
      <c r="AC77" s="29"/>
      <c r="AD77" s="29"/>
      <c r="AE77" s="33"/>
      <c r="AF77" s="33"/>
      <c r="AG77" s="34"/>
      <c r="AH77" s="34"/>
      <c r="AI77" s="34"/>
      <c r="AJ77" s="34"/>
      <c r="AK77" s="34"/>
      <c r="AL77" s="34"/>
      <c r="AM77" s="31">
        <f>SUMIF(AC$5:AC$38,"AP",AM$5:AM$38)</f>
        <v>0</v>
      </c>
      <c r="AN77" s="34"/>
      <c r="AO77" s="29"/>
      <c r="AP77" s="29"/>
      <c r="AQ77" s="29"/>
      <c r="AR77" s="29"/>
      <c r="AS77" s="29"/>
      <c r="AT77" s="29"/>
      <c r="AU77" s="29"/>
      <c r="AV77" s="29"/>
      <c r="AW77" s="29"/>
      <c r="AX77" s="29"/>
      <c r="AY77" s="34"/>
      <c r="AZ77" s="31">
        <f>SUMIF(AP$5:AP$38,"AP",AZ$5:AZ$38)</f>
        <v>0</v>
      </c>
      <c r="BA77" s="34"/>
      <c r="BB77" s="29"/>
      <c r="BC77" s="29"/>
      <c r="BD77" s="29"/>
      <c r="BE77" s="29"/>
      <c r="BF77" s="29"/>
      <c r="BG77" s="29"/>
      <c r="BH77" s="29"/>
      <c r="BI77" s="29"/>
      <c r="BJ77" s="29"/>
      <c r="BK77" s="29"/>
      <c r="BL77" s="34"/>
      <c r="BM77" s="31">
        <f>SUMIF(BC$5:BC$38,"AP",BM$5:BM$38)</f>
        <v>0</v>
      </c>
      <c r="BN77" s="34"/>
      <c r="BO77" s="29"/>
      <c r="BP77" s="29"/>
      <c r="BQ77" s="29"/>
      <c r="BR77" s="29"/>
      <c r="BS77" s="29"/>
      <c r="BT77" s="29"/>
      <c r="BU77" s="29"/>
      <c r="BV77" s="29"/>
      <c r="BW77" s="29"/>
      <c r="BX77" s="29"/>
      <c r="BY77" s="29"/>
      <c r="BZ77" s="31">
        <f>SUMIF(BP$5:BP$38,"AP",BZ$5:BZ$38)</f>
        <v>0</v>
      </c>
      <c r="CA77" s="34"/>
      <c r="CB77" s="29"/>
      <c r="CC77" s="29"/>
      <c r="CD77" s="33"/>
      <c r="CE77" s="33"/>
      <c r="CF77" s="33"/>
      <c r="CG77" s="33"/>
      <c r="CH77" s="33"/>
      <c r="CI77" s="33"/>
      <c r="CJ77" s="33"/>
      <c r="CK77" s="33"/>
      <c r="CL77" s="33"/>
      <c r="CM77" s="31">
        <f>SUMIF(CC$5:CC$38,"AP",CM$5:CM$38)</f>
        <v>9</v>
      </c>
      <c r="CN77" s="34"/>
      <c r="CO77" s="33"/>
      <c r="CP77" s="33"/>
      <c r="CQ77" s="33"/>
      <c r="CR77" s="33"/>
      <c r="CS77" s="33"/>
      <c r="CT77" s="33"/>
      <c r="CU77" s="33"/>
      <c r="CV77" s="33"/>
      <c r="CW77" s="33"/>
      <c r="CX77" s="33"/>
      <c r="CY77" s="34"/>
      <c r="CZ77" s="31">
        <f>SUMIF(CP$4:CP$37,"AP",CZ$4:CZ$37)</f>
        <v>13</v>
      </c>
      <c r="DA77" s="34"/>
      <c r="DB77" s="33"/>
      <c r="DC77" s="33"/>
      <c r="DD77" s="33"/>
      <c r="DE77" s="33"/>
      <c r="DF77" s="33"/>
      <c r="DG77" s="33"/>
      <c r="DH77" s="33"/>
      <c r="DI77" s="33"/>
      <c r="DJ77" s="33"/>
      <c r="DK77" s="33"/>
      <c r="DL77" s="34"/>
      <c r="DM77" s="31">
        <f>SUMIF(DC$5:DC$38,"AP",DM$5:DM$38)</f>
        <v>15</v>
      </c>
      <c r="DN77" s="34"/>
      <c r="DO77" s="33"/>
      <c r="DP77" s="33"/>
      <c r="DQ77" s="33"/>
      <c r="DR77" s="33"/>
      <c r="DS77" s="33"/>
      <c r="DT77" s="33"/>
      <c r="DU77" s="33"/>
      <c r="DV77" s="33"/>
      <c r="DW77" s="33"/>
      <c r="DX77" s="34"/>
      <c r="DY77" s="34"/>
      <c r="DZ77" s="31">
        <f>SUMIF(DP$5:DP$38,"AP",DZ$5:DZ$38)</f>
        <v>18</v>
      </c>
      <c r="EA77" s="34"/>
      <c r="EB77" s="33"/>
      <c r="EC77" s="33"/>
      <c r="ED77" s="33"/>
      <c r="EE77" s="33"/>
      <c r="EF77" s="33"/>
      <c r="EG77" s="33"/>
      <c r="EH77" s="33"/>
      <c r="EI77" s="33"/>
      <c r="EJ77" s="33"/>
      <c r="EK77" s="33"/>
      <c r="EL77" s="34"/>
      <c r="EM77" s="31">
        <f>SUMIF(EC$5:EC$38,"AP",EM$5:EM$38)</f>
        <v>0</v>
      </c>
      <c r="EN77" s="34"/>
      <c r="EO77" s="33"/>
      <c r="EP77" s="33"/>
      <c r="EQ77" s="33"/>
      <c r="ER77" s="33"/>
      <c r="ES77" s="33"/>
      <c r="ET77" s="33"/>
      <c r="EU77" s="33"/>
      <c r="EV77" s="33"/>
      <c r="EW77" s="33"/>
      <c r="EX77" s="33"/>
      <c r="EY77" s="34"/>
      <c r="EZ77" s="31">
        <f>SUMIF(EP$5:EP$38,"AP",EZ$5:EZ$38)</f>
        <v>0</v>
      </c>
      <c r="FA77" s="34"/>
      <c r="FB77" s="36"/>
      <c r="FC77" s="48"/>
      <c r="FD77" s="48"/>
      <c r="FE77" s="48"/>
      <c r="FF77" s="48"/>
      <c r="FG77" s="48"/>
      <c r="FH77" s="48"/>
      <c r="FI77" s="48"/>
      <c r="FJ77" s="48"/>
      <c r="FK77" s="48"/>
      <c r="FL77" s="48"/>
      <c r="FM77" s="48"/>
      <c r="FN77" s="48"/>
      <c r="FO77" s="48"/>
      <c r="FP77" s="48"/>
      <c r="FQ77" s="48"/>
      <c r="FR77" s="48"/>
      <c r="FS77" s="48"/>
      <c r="FT77" s="48"/>
      <c r="FU77" s="48"/>
      <c r="FV77" s="48"/>
      <c r="FW77" s="36"/>
      <c r="FX77" s="29" t="e">
        <f t="shared" si="2"/>
        <v>#REF!</v>
      </c>
      <c r="FY77" s="29">
        <f t="shared" si="7"/>
        <v>0</v>
      </c>
      <c r="FZ77" s="29">
        <f t="shared" si="8"/>
        <v>37</v>
      </c>
      <c r="GA77" s="29">
        <f t="shared" si="9"/>
        <v>18</v>
      </c>
      <c r="GB77" s="36"/>
      <c r="GC77" s="41" t="e">
        <f t="shared" si="0"/>
        <v>#REF!</v>
      </c>
      <c r="GD77" s="36"/>
      <c r="GE77" s="36"/>
      <c r="GF77" s="36"/>
      <c r="GG77" s="36"/>
      <c r="GH77" s="36"/>
      <c r="GI77" s="36"/>
      <c r="GJ77" s="36"/>
      <c r="GK77" s="36"/>
      <c r="GL77" s="36"/>
      <c r="GM77" s="36"/>
      <c r="GN77" s="36"/>
      <c r="GO77" s="36"/>
      <c r="GP77" s="36"/>
      <c r="GQ77" s="36"/>
      <c r="GR77" s="36"/>
      <c r="GS77" s="36"/>
      <c r="GT77" s="36"/>
      <c r="GU77" s="36"/>
      <c r="GV77" s="36"/>
      <c r="GW77" s="36"/>
      <c r="GX77" s="36"/>
      <c r="GY77" s="36"/>
      <c r="GZ77" s="36"/>
      <c r="HA77" s="36"/>
      <c r="HB77" s="36"/>
      <c r="HC77" s="36"/>
      <c r="HD77" s="36"/>
      <c r="HE77" s="36"/>
      <c r="HF77" s="36"/>
      <c r="HG77" s="36"/>
      <c r="HH77" s="36"/>
      <c r="HI77" s="36"/>
      <c r="HJ77" s="36"/>
      <c r="HK77" s="36"/>
      <c r="HL77" s="36"/>
      <c r="HM77" s="36"/>
      <c r="HN77" s="36"/>
      <c r="HO77" s="36"/>
      <c r="HP77" s="36"/>
      <c r="HQ77" s="36"/>
      <c r="HR77" s="36"/>
      <c r="HS77" s="36"/>
      <c r="HT77" s="36"/>
      <c r="HU77" s="36"/>
      <c r="HV77" s="36"/>
      <c r="HW77" s="36"/>
      <c r="HX77" s="36"/>
      <c r="HY77" s="36"/>
      <c r="HZ77" s="36"/>
      <c r="IA77" s="36"/>
    </row>
    <row r="78" spans="1:235">
      <c r="A78" s="42" t="s">
        <v>1616</v>
      </c>
      <c r="B78" s="28"/>
      <c r="C78" s="29"/>
      <c r="D78" s="29"/>
      <c r="E78" s="28"/>
      <c r="F78" s="28"/>
      <c r="G78" s="28"/>
      <c r="H78" s="28"/>
      <c r="I78" s="28"/>
      <c r="J78" s="28"/>
      <c r="K78" s="28"/>
      <c r="L78" s="28"/>
      <c r="M78" s="31">
        <f>SUMIF(C$5:C$38,"Geo China",M$5:M$38)</f>
        <v>0</v>
      </c>
      <c r="N78" s="34"/>
      <c r="O78" s="29"/>
      <c r="P78" s="29"/>
      <c r="Q78" s="29"/>
      <c r="R78" s="33"/>
      <c r="S78" s="33"/>
      <c r="T78" s="34"/>
      <c r="U78" s="34"/>
      <c r="V78" s="34"/>
      <c r="W78" s="34"/>
      <c r="X78" s="34"/>
      <c r="Y78" s="34"/>
      <c r="Z78" s="31">
        <f>SUMIF(P$5:P$38,"Geo China",Z$5:Z$38)</f>
        <v>0</v>
      </c>
      <c r="AA78" s="34"/>
      <c r="AB78" s="29"/>
      <c r="AC78" s="29"/>
      <c r="AD78" s="29"/>
      <c r="AE78" s="33"/>
      <c r="AF78" s="33"/>
      <c r="AG78" s="34"/>
      <c r="AH78" s="34"/>
      <c r="AI78" s="34"/>
      <c r="AJ78" s="34"/>
      <c r="AK78" s="34"/>
      <c r="AL78" s="34"/>
      <c r="AM78" s="31">
        <f>SUMIF(AC$5:AC$38,"Geo China",AM$5:AM$38)</f>
        <v>0</v>
      </c>
      <c r="AN78" s="34"/>
      <c r="AO78" s="29"/>
      <c r="AP78" s="29"/>
      <c r="AQ78" s="29"/>
      <c r="AR78" s="29"/>
      <c r="AS78" s="29"/>
      <c r="AT78" s="29"/>
      <c r="AU78" s="29"/>
      <c r="AV78" s="29"/>
      <c r="AW78" s="29"/>
      <c r="AX78" s="29"/>
      <c r="AY78" s="34"/>
      <c r="AZ78" s="31">
        <f>SUMIF(AP$5:AP$38,"Geo China",AZ$5:AZ$38)</f>
        <v>0</v>
      </c>
      <c r="BA78" s="34"/>
      <c r="BB78" s="29"/>
      <c r="BC78" s="29"/>
      <c r="BD78" s="29"/>
      <c r="BE78" s="29"/>
      <c r="BF78" s="29"/>
      <c r="BG78" s="29"/>
      <c r="BH78" s="29"/>
      <c r="BI78" s="29"/>
      <c r="BJ78" s="29"/>
      <c r="BK78" s="29"/>
      <c r="BL78" s="34"/>
      <c r="BM78" s="31">
        <f>SUMIF(BC$5:BC$38,"Geo China",BM$5:BM$38)</f>
        <v>18</v>
      </c>
      <c r="BN78" s="34"/>
      <c r="BO78" s="29"/>
      <c r="BP78" s="29"/>
      <c r="BQ78" s="29"/>
      <c r="BR78" s="29"/>
      <c r="BS78" s="29"/>
      <c r="BT78" s="29"/>
      <c r="BU78" s="29"/>
      <c r="BV78" s="29"/>
      <c r="BW78" s="29"/>
      <c r="BX78" s="29"/>
      <c r="BY78" s="29"/>
      <c r="BZ78" s="31">
        <f>SUMIF(BP$5:BP$38,"Geo China",BZ$5:BZ$38)</f>
        <v>0</v>
      </c>
      <c r="CA78" s="34"/>
      <c r="CB78" s="29"/>
      <c r="CC78" s="29"/>
      <c r="CD78" s="33"/>
      <c r="CE78" s="33"/>
      <c r="CF78" s="33"/>
      <c r="CG78" s="33"/>
      <c r="CH78" s="33"/>
      <c r="CI78" s="33"/>
      <c r="CJ78" s="33"/>
      <c r="CK78" s="33"/>
      <c r="CL78" s="33"/>
      <c r="CM78" s="31">
        <f>SUMIF(CC$5:CC$38,"Geo China",CM$5:CM$38)</f>
        <v>2</v>
      </c>
      <c r="CN78" s="34"/>
      <c r="CO78" s="33"/>
      <c r="CP78" s="33"/>
      <c r="CQ78" s="33"/>
      <c r="CR78" s="33"/>
      <c r="CS78" s="33"/>
      <c r="CT78" s="33"/>
      <c r="CU78" s="33"/>
      <c r="CV78" s="33"/>
      <c r="CW78" s="33"/>
      <c r="CX78" s="33"/>
      <c r="CY78" s="34"/>
      <c r="CZ78" s="31">
        <f>SUMIF(CP$7:CP$37,"Geo China",CZ$7:CZ$37)</f>
        <v>46</v>
      </c>
      <c r="DA78" s="34"/>
      <c r="DB78" s="33"/>
      <c r="DC78" s="33"/>
      <c r="DD78" s="33"/>
      <c r="DE78" s="33"/>
      <c r="DF78" s="33"/>
      <c r="DG78" s="33"/>
      <c r="DH78" s="33"/>
      <c r="DI78" s="33"/>
      <c r="DJ78" s="33"/>
      <c r="DK78" s="33"/>
      <c r="DL78" s="34"/>
      <c r="DM78" s="31">
        <f>SUMIF(DC$5:DC$38,"Geo China",DM$5:DM$38)</f>
        <v>0</v>
      </c>
      <c r="DN78" s="34"/>
      <c r="DO78" s="33"/>
      <c r="DP78" s="33"/>
      <c r="DQ78" s="33"/>
      <c r="DR78" s="33"/>
      <c r="DS78" s="33"/>
      <c r="DT78" s="33"/>
      <c r="DU78" s="33"/>
      <c r="DV78" s="33"/>
      <c r="DW78" s="33"/>
      <c r="DX78" s="34"/>
      <c r="DY78" s="34"/>
      <c r="DZ78" s="31">
        <f>SUMIF(DP$5:DP$38,"Geo China",DZ$5:DZ$38)</f>
        <v>0</v>
      </c>
      <c r="EA78" s="34"/>
      <c r="EB78" s="33"/>
      <c r="EC78" s="33"/>
      <c r="ED78" s="33"/>
      <c r="EE78" s="33"/>
      <c r="EF78" s="33"/>
      <c r="EG78" s="33"/>
      <c r="EH78" s="33"/>
      <c r="EI78" s="33"/>
      <c r="EJ78" s="33"/>
      <c r="EK78" s="33"/>
      <c r="EL78" s="34"/>
      <c r="EM78" s="31">
        <f>SUMIF(EC$5:EC$38,"Geo China",EM$5:EM$38)</f>
        <v>0</v>
      </c>
      <c r="EN78" s="34"/>
      <c r="EO78" s="33"/>
      <c r="EP78" s="33"/>
      <c r="EQ78" s="33"/>
      <c r="ER78" s="33"/>
      <c r="ES78" s="33"/>
      <c r="ET78" s="33"/>
      <c r="EU78" s="33"/>
      <c r="EV78" s="33"/>
      <c r="EW78" s="33"/>
      <c r="EX78" s="33"/>
      <c r="EY78" s="34"/>
      <c r="EZ78" s="31">
        <f>SUMIF(EP$5:EP$38,"Geo China",EZ$5:EZ$38)</f>
        <v>0</v>
      </c>
      <c r="FA78" s="34"/>
      <c r="FB78" s="36"/>
      <c r="FC78" s="48"/>
      <c r="FD78" s="48"/>
      <c r="FE78" s="48"/>
      <c r="FF78" s="48"/>
      <c r="FG78" s="48"/>
      <c r="FH78" s="48"/>
      <c r="FI78" s="48"/>
      <c r="FJ78" s="48"/>
      <c r="FK78" s="48"/>
      <c r="FL78" s="48"/>
      <c r="FM78" s="48"/>
      <c r="FN78" s="48"/>
      <c r="FO78" s="48"/>
      <c r="FP78" s="48"/>
      <c r="FQ78" s="48"/>
      <c r="FR78" s="48"/>
      <c r="FS78" s="48"/>
      <c r="FT78" s="48"/>
      <c r="FU78" s="48"/>
      <c r="FV78" s="48"/>
      <c r="FW78" s="36"/>
      <c r="FX78" s="29">
        <f t="shared" si="2"/>
        <v>0</v>
      </c>
      <c r="FY78" s="29">
        <f t="shared" si="7"/>
        <v>18</v>
      </c>
      <c r="FZ78" s="29">
        <f t="shared" si="8"/>
        <v>48</v>
      </c>
      <c r="GA78" s="29">
        <f t="shared" si="9"/>
        <v>0</v>
      </c>
      <c r="GB78" s="36"/>
      <c r="GC78" s="41">
        <f t="shared" si="0"/>
        <v>66</v>
      </c>
      <c r="GD78" s="36"/>
      <c r="GE78" s="36"/>
      <c r="GF78" s="36"/>
      <c r="GG78" s="36"/>
      <c r="GH78" s="36"/>
      <c r="GI78" s="36"/>
      <c r="GJ78" s="36"/>
      <c r="GK78" s="36"/>
      <c r="GL78" s="36"/>
      <c r="GM78" s="36"/>
      <c r="GN78" s="36"/>
      <c r="GO78" s="36"/>
      <c r="GP78" s="36"/>
      <c r="GQ78" s="36"/>
      <c r="GR78" s="36"/>
      <c r="GS78" s="36"/>
      <c r="GT78" s="36"/>
      <c r="GU78" s="36"/>
      <c r="GV78" s="36"/>
      <c r="GW78" s="36"/>
      <c r="GX78" s="36"/>
      <c r="GY78" s="36"/>
      <c r="GZ78" s="36"/>
      <c r="HA78" s="36"/>
      <c r="HB78" s="36"/>
      <c r="HC78" s="36"/>
      <c r="HD78" s="36"/>
      <c r="HE78" s="36"/>
      <c r="HF78" s="36"/>
      <c r="HG78" s="36"/>
      <c r="HH78" s="36"/>
      <c r="HI78" s="36"/>
      <c r="HJ78" s="36"/>
      <c r="HK78" s="36"/>
      <c r="HL78" s="36"/>
      <c r="HM78" s="36"/>
      <c r="HN78" s="36"/>
      <c r="HO78" s="36"/>
      <c r="HP78" s="36"/>
      <c r="HQ78" s="36"/>
      <c r="HR78" s="36"/>
      <c r="HS78" s="36"/>
      <c r="HT78" s="36"/>
      <c r="HU78" s="36"/>
      <c r="HV78" s="36"/>
      <c r="HW78" s="36"/>
      <c r="HX78" s="36"/>
      <c r="HY78" s="36"/>
      <c r="HZ78" s="36"/>
      <c r="IA78" s="36"/>
    </row>
    <row r="79" spans="1:235">
      <c r="A79" s="42" t="s">
        <v>1617</v>
      </c>
      <c r="B79" s="28"/>
      <c r="C79" s="29"/>
      <c r="D79" s="29"/>
      <c r="E79" s="28"/>
      <c r="F79" s="28"/>
      <c r="G79" s="28"/>
      <c r="H79" s="28"/>
      <c r="I79" s="28"/>
      <c r="J79" s="28"/>
      <c r="K79" s="28"/>
      <c r="L79" s="28"/>
      <c r="M79" s="31">
        <f>SUMIF(C$5:C$38,"Japan",M$5:M$38)</f>
        <v>0</v>
      </c>
      <c r="N79" s="34"/>
      <c r="O79" s="29"/>
      <c r="P79" s="29"/>
      <c r="Q79" s="29"/>
      <c r="R79" s="33"/>
      <c r="S79" s="33"/>
      <c r="T79" s="34"/>
      <c r="U79" s="34"/>
      <c r="V79" s="34"/>
      <c r="W79" s="34"/>
      <c r="X79" s="34"/>
      <c r="Y79" s="34"/>
      <c r="Z79" s="31">
        <f>SUMIF(P$5:P$38,"Japan",Z$5:Z$38)</f>
        <v>0</v>
      </c>
      <c r="AA79" s="34"/>
      <c r="AB79" s="29"/>
      <c r="AC79" s="29"/>
      <c r="AD79" s="29"/>
      <c r="AE79" s="33"/>
      <c r="AF79" s="33"/>
      <c r="AG79" s="34"/>
      <c r="AH79" s="34"/>
      <c r="AI79" s="34"/>
      <c r="AJ79" s="34"/>
      <c r="AK79" s="34"/>
      <c r="AL79" s="34"/>
      <c r="AM79" s="31">
        <f>SUMIF(AC$5:AC$38,"Japan",AM$5:AM$38)</f>
        <v>0</v>
      </c>
      <c r="AN79" s="34"/>
      <c r="AO79" s="29"/>
      <c r="AP79" s="29"/>
      <c r="AQ79" s="29"/>
      <c r="AR79" s="29"/>
      <c r="AS79" s="29"/>
      <c r="AT79" s="29"/>
      <c r="AU79" s="29"/>
      <c r="AV79" s="29"/>
      <c r="AW79" s="29"/>
      <c r="AX79" s="29"/>
      <c r="AY79" s="34"/>
      <c r="AZ79" s="31">
        <f>SUMIF(AP$5:AP$38,"Japan",AZ$5:AZ$38)</f>
        <v>520</v>
      </c>
      <c r="BA79" s="34"/>
      <c r="BB79" s="29"/>
      <c r="BC79" s="29"/>
      <c r="BD79" s="29"/>
      <c r="BE79" s="29"/>
      <c r="BF79" s="29"/>
      <c r="BG79" s="29"/>
      <c r="BH79" s="29"/>
      <c r="BI79" s="29"/>
      <c r="BJ79" s="29"/>
      <c r="BK79" s="29"/>
      <c r="BL79" s="34"/>
      <c r="BM79" s="31">
        <f>SUMIF(BC$5:BC$38,"Japan",BM$5:BM$38)</f>
        <v>0</v>
      </c>
      <c r="BN79" s="34"/>
      <c r="BO79" s="29"/>
      <c r="BP79" s="29"/>
      <c r="BQ79" s="29"/>
      <c r="BR79" s="29"/>
      <c r="BS79" s="29"/>
      <c r="BT79" s="29"/>
      <c r="BU79" s="29"/>
      <c r="BV79" s="29"/>
      <c r="BW79" s="29"/>
      <c r="BX79" s="29"/>
      <c r="BY79" s="29"/>
      <c r="BZ79" s="31">
        <f>SUMIF(BP$5:BP$38,"Japan",BZ$5:BZ$38)</f>
        <v>0</v>
      </c>
      <c r="CA79" s="34"/>
      <c r="CB79" s="29"/>
      <c r="CC79" s="29"/>
      <c r="CD79" s="33"/>
      <c r="CE79" s="33"/>
      <c r="CF79" s="33"/>
      <c r="CG79" s="33"/>
      <c r="CH79" s="33"/>
      <c r="CI79" s="33"/>
      <c r="CJ79" s="33"/>
      <c r="CK79" s="33"/>
      <c r="CL79" s="33"/>
      <c r="CM79" s="31">
        <f>SUMIF(CC$5:CC$38,"Japan",CM$5:CM$38)</f>
        <v>0</v>
      </c>
      <c r="CN79" s="34"/>
      <c r="CO79" s="33"/>
      <c r="CP79" s="33"/>
      <c r="CQ79" s="33"/>
      <c r="CR79" s="33"/>
      <c r="CS79" s="33"/>
      <c r="CT79" s="33"/>
      <c r="CU79" s="33"/>
      <c r="CV79" s="33"/>
      <c r="CW79" s="33"/>
      <c r="CX79" s="33"/>
      <c r="CY79" s="34"/>
      <c r="CZ79" s="31">
        <f>SUMIF(CP$7:CP$37,"Japan",CZ$7:CZ$37)</f>
        <v>0</v>
      </c>
      <c r="DA79" s="34"/>
      <c r="DB79" s="33"/>
      <c r="DC79" s="33"/>
      <c r="DD79" s="33"/>
      <c r="DE79" s="33"/>
      <c r="DF79" s="33"/>
      <c r="DG79" s="33"/>
      <c r="DH79" s="33"/>
      <c r="DI79" s="33"/>
      <c r="DJ79" s="33"/>
      <c r="DK79" s="33"/>
      <c r="DL79" s="34"/>
      <c r="DM79" s="31">
        <f>SUMIF(DC$5:DC$38,"Japan",DM$5:DM$38)</f>
        <v>0</v>
      </c>
      <c r="DN79" s="34"/>
      <c r="DO79" s="33"/>
      <c r="DP79" s="33"/>
      <c r="DQ79" s="33"/>
      <c r="DR79" s="33"/>
      <c r="DS79" s="33"/>
      <c r="DT79" s="33"/>
      <c r="DU79" s="33"/>
      <c r="DV79" s="33"/>
      <c r="DW79" s="33"/>
      <c r="DX79" s="34"/>
      <c r="DY79" s="34"/>
      <c r="DZ79" s="31">
        <f>SUMIF(DP$5:DP$38,"Japan",DZ$5:DZ$38)</f>
        <v>20</v>
      </c>
      <c r="EA79" s="34"/>
      <c r="EB79" s="33"/>
      <c r="EC79" s="33"/>
      <c r="ED79" s="33"/>
      <c r="EE79" s="33"/>
      <c r="EF79" s="33"/>
      <c r="EG79" s="33"/>
      <c r="EH79" s="33"/>
      <c r="EI79" s="33"/>
      <c r="EJ79" s="33"/>
      <c r="EK79" s="33"/>
      <c r="EL79" s="34"/>
      <c r="EM79" s="31">
        <f>SUMIF(EC$5:EC$38,"Japan",EM$5:EM$38)</f>
        <v>0</v>
      </c>
      <c r="EN79" s="34"/>
      <c r="EO79" s="33"/>
      <c r="EP79" s="33"/>
      <c r="EQ79" s="33"/>
      <c r="ER79" s="33"/>
      <c r="ES79" s="33"/>
      <c r="ET79" s="33"/>
      <c r="EU79" s="33"/>
      <c r="EV79" s="33"/>
      <c r="EW79" s="33"/>
      <c r="EX79" s="33"/>
      <c r="EY79" s="34"/>
      <c r="EZ79" s="31">
        <f>SUMIF(EP$5:EP$38,"Japan",EZ$5:EZ$38)</f>
        <v>0</v>
      </c>
      <c r="FA79" s="34"/>
      <c r="FB79" s="36"/>
      <c r="FC79" s="48"/>
      <c r="FD79" s="48"/>
      <c r="FE79" s="48"/>
      <c r="FF79" s="48"/>
      <c r="FG79" s="48"/>
      <c r="FH79" s="48"/>
      <c r="FI79" s="48"/>
      <c r="FJ79" s="48"/>
      <c r="FK79" s="48"/>
      <c r="FL79" s="48"/>
      <c r="FM79" s="48"/>
      <c r="FN79" s="48"/>
      <c r="FO79" s="48"/>
      <c r="FP79" s="48"/>
      <c r="FQ79" s="48"/>
      <c r="FR79" s="48"/>
      <c r="FS79" s="48"/>
      <c r="FT79" s="48"/>
      <c r="FU79" s="48"/>
      <c r="FV79" s="48"/>
      <c r="FW79" s="36"/>
      <c r="FX79" s="29">
        <f t="shared" si="2"/>
        <v>0</v>
      </c>
      <c r="FY79" s="29">
        <f t="shared" si="7"/>
        <v>520</v>
      </c>
      <c r="FZ79" s="29">
        <f t="shared" si="8"/>
        <v>0</v>
      </c>
      <c r="GA79" s="29">
        <f t="shared" si="9"/>
        <v>20</v>
      </c>
      <c r="GB79" s="36"/>
      <c r="GC79" s="41">
        <f t="shared" si="0"/>
        <v>540</v>
      </c>
      <c r="GD79" s="36"/>
      <c r="GE79" s="36"/>
      <c r="GF79" s="36"/>
      <c r="GG79" s="36"/>
      <c r="GH79" s="36"/>
      <c r="GI79" s="36"/>
      <c r="GJ79" s="36"/>
      <c r="GK79" s="36"/>
      <c r="GL79" s="36"/>
      <c r="GM79" s="36"/>
      <c r="GN79" s="36"/>
      <c r="GO79" s="36"/>
      <c r="GP79" s="36"/>
      <c r="GQ79" s="36"/>
      <c r="GR79" s="36"/>
      <c r="GS79" s="36"/>
      <c r="GT79" s="36"/>
      <c r="GU79" s="36"/>
      <c r="GV79" s="36"/>
      <c r="GW79" s="36"/>
      <c r="GX79" s="36"/>
      <c r="GY79" s="36"/>
      <c r="GZ79" s="36"/>
      <c r="HA79" s="36"/>
      <c r="HB79" s="36"/>
      <c r="HC79" s="36"/>
      <c r="HD79" s="36"/>
      <c r="HE79" s="36"/>
      <c r="HF79" s="36"/>
      <c r="HG79" s="36"/>
      <c r="HH79" s="36"/>
      <c r="HI79" s="36"/>
      <c r="HJ79" s="36"/>
      <c r="HK79" s="36"/>
      <c r="HL79" s="36"/>
      <c r="HM79" s="36"/>
      <c r="HN79" s="36"/>
      <c r="HO79" s="36"/>
      <c r="HP79" s="36"/>
      <c r="HQ79" s="36"/>
      <c r="HR79" s="36"/>
      <c r="HS79" s="36"/>
      <c r="HT79" s="36"/>
      <c r="HU79" s="36"/>
      <c r="HV79" s="36"/>
      <c r="HW79" s="36"/>
      <c r="HX79" s="36"/>
      <c r="HY79" s="36"/>
      <c r="HZ79" s="36"/>
      <c r="IA79" s="36"/>
    </row>
    <row r="80" spans="1:235">
      <c r="A80" s="42" t="s">
        <v>1618</v>
      </c>
      <c r="B80" s="28"/>
      <c r="C80" s="29"/>
      <c r="D80" s="29"/>
      <c r="E80" s="28"/>
      <c r="F80" s="28"/>
      <c r="G80" s="28"/>
      <c r="H80" s="28"/>
      <c r="I80" s="28"/>
      <c r="J80" s="28"/>
      <c r="K80" s="28"/>
      <c r="L80" s="28"/>
      <c r="M80" s="31">
        <f>SUMIF(C$5:C$38,"Geo MEA",M$5:M$38)</f>
        <v>0</v>
      </c>
      <c r="N80" s="34"/>
      <c r="O80" s="29"/>
      <c r="P80" s="29"/>
      <c r="Q80" s="29"/>
      <c r="R80" s="33"/>
      <c r="S80" s="33"/>
      <c r="T80" s="34"/>
      <c r="U80" s="34"/>
      <c r="V80" s="34"/>
      <c r="W80" s="34"/>
      <c r="X80" s="34"/>
      <c r="Y80" s="34"/>
      <c r="Z80" s="31">
        <f>SUMIF(P$5:P$38,"Geo MEA",Z$5:Z$38)</f>
        <v>0</v>
      </c>
      <c r="AA80" s="34"/>
      <c r="AB80" s="29"/>
      <c r="AC80" s="29"/>
      <c r="AD80" s="29"/>
      <c r="AE80" s="33"/>
      <c r="AF80" s="33"/>
      <c r="AG80" s="34"/>
      <c r="AH80" s="34"/>
      <c r="AI80" s="34"/>
      <c r="AJ80" s="34"/>
      <c r="AK80" s="34"/>
      <c r="AL80" s="34"/>
      <c r="AM80" s="31">
        <f>SUMIF(AC$5:AC$38,"Geo MEA",AM$5:AM$38)</f>
        <v>0</v>
      </c>
      <c r="AN80" s="34"/>
      <c r="AO80" s="29"/>
      <c r="AP80" s="29"/>
      <c r="AQ80" s="29"/>
      <c r="AR80" s="29"/>
      <c r="AS80" s="29"/>
      <c r="AT80" s="29"/>
      <c r="AU80" s="29"/>
      <c r="AV80" s="29"/>
      <c r="AW80" s="29"/>
      <c r="AX80" s="29"/>
      <c r="AY80" s="34"/>
      <c r="AZ80" s="31">
        <f>SUMIF(AP$5:AP$38,"Geo MEA",AZ$5:AZ$38)</f>
        <v>0</v>
      </c>
      <c r="BA80" s="34"/>
      <c r="BB80" s="29"/>
      <c r="BC80" s="29"/>
      <c r="BD80" s="29"/>
      <c r="BE80" s="29"/>
      <c r="BF80" s="29"/>
      <c r="BG80" s="29"/>
      <c r="BH80" s="29"/>
      <c r="BI80" s="29"/>
      <c r="BJ80" s="29"/>
      <c r="BK80" s="29"/>
      <c r="BL80" s="34"/>
      <c r="BM80" s="31">
        <f>SUMIF(BC$5:BC$38,"Geo MEA",BM$5:BM$38)</f>
        <v>0</v>
      </c>
      <c r="BN80" s="34"/>
      <c r="BO80" s="29"/>
      <c r="BP80" s="29"/>
      <c r="BQ80" s="29"/>
      <c r="BR80" s="29"/>
      <c r="BS80" s="29"/>
      <c r="BT80" s="29"/>
      <c r="BU80" s="29"/>
      <c r="BV80" s="29"/>
      <c r="BW80" s="29"/>
      <c r="BX80" s="29"/>
      <c r="BY80" s="29"/>
      <c r="BZ80" s="31">
        <f>SUMIF(BP$5:BP$38,"Geo MEA",BZ$5:BZ$38)</f>
        <v>0</v>
      </c>
      <c r="CA80" s="34"/>
      <c r="CB80" s="29"/>
      <c r="CC80" s="29"/>
      <c r="CD80" s="33"/>
      <c r="CE80" s="33"/>
      <c r="CF80" s="33"/>
      <c r="CG80" s="33"/>
      <c r="CH80" s="33"/>
      <c r="CI80" s="33"/>
      <c r="CJ80" s="33"/>
      <c r="CK80" s="33"/>
      <c r="CL80" s="33"/>
      <c r="CM80" s="31">
        <f>SUMIF(CC$5:CC$38,"Geo MEA",CM$5:CM$38)</f>
        <v>0</v>
      </c>
      <c r="CN80" s="34"/>
      <c r="CO80" s="33"/>
      <c r="CP80" s="33"/>
      <c r="CQ80" s="33"/>
      <c r="CR80" s="33"/>
      <c r="CS80" s="33"/>
      <c r="CT80" s="33"/>
      <c r="CU80" s="33"/>
      <c r="CV80" s="33"/>
      <c r="CW80" s="33"/>
      <c r="CX80" s="33"/>
      <c r="CY80" s="34"/>
      <c r="CZ80" s="31">
        <f>SUMIF(CP$7:CP$37,"Geo MEA",CZ$7:CZ$37)</f>
        <v>13</v>
      </c>
      <c r="DA80" s="34"/>
      <c r="DB80" s="33"/>
      <c r="DC80" s="33"/>
      <c r="DD80" s="33"/>
      <c r="DE80" s="33"/>
      <c r="DF80" s="33"/>
      <c r="DG80" s="33"/>
      <c r="DH80" s="33"/>
      <c r="DI80" s="33"/>
      <c r="DJ80" s="33"/>
      <c r="DK80" s="33"/>
      <c r="DL80" s="34"/>
      <c r="DM80" s="31">
        <f>SUMIF(DC$5:DC$38,"Geo MEA",DM$5:DM$38)</f>
        <v>0</v>
      </c>
      <c r="DN80" s="34"/>
      <c r="DO80" s="33"/>
      <c r="DP80" s="33"/>
      <c r="DQ80" s="33"/>
      <c r="DR80" s="33"/>
      <c r="DS80" s="33"/>
      <c r="DT80" s="33"/>
      <c r="DU80" s="33"/>
      <c r="DV80" s="33"/>
      <c r="DW80" s="33"/>
      <c r="DX80" s="34"/>
      <c r="DY80" s="34"/>
      <c r="DZ80" s="31">
        <f>SUMIF(DP$5:DP$38,"Geo MEA",DZ$5:DZ$38)</f>
        <v>0</v>
      </c>
      <c r="EA80" s="34"/>
      <c r="EB80" s="33"/>
      <c r="EC80" s="33"/>
      <c r="ED80" s="33"/>
      <c r="EE80" s="33"/>
      <c r="EF80" s="33"/>
      <c r="EG80" s="33"/>
      <c r="EH80" s="33"/>
      <c r="EI80" s="33"/>
      <c r="EJ80" s="33"/>
      <c r="EK80" s="33"/>
      <c r="EL80" s="34"/>
      <c r="EM80" s="31">
        <f>SUMIF(EC$5:EC$38,"Geo MEA",EM$5:EM$38)</f>
        <v>0</v>
      </c>
      <c r="EN80" s="34"/>
      <c r="EO80" s="33"/>
      <c r="EP80" s="33"/>
      <c r="EQ80" s="33"/>
      <c r="ER80" s="33"/>
      <c r="ES80" s="33"/>
      <c r="ET80" s="33"/>
      <c r="EU80" s="33"/>
      <c r="EV80" s="33"/>
      <c r="EW80" s="33"/>
      <c r="EX80" s="33"/>
      <c r="EY80" s="34"/>
      <c r="EZ80" s="31">
        <f>SUMIF(EP$5:EP$38,"Geo MEA",EZ$5:EZ$38)</f>
        <v>0</v>
      </c>
      <c r="FA80" s="34"/>
      <c r="FB80" s="36"/>
      <c r="FC80" s="48"/>
      <c r="FD80" s="48"/>
      <c r="FE80" s="48"/>
      <c r="FF80" s="48"/>
      <c r="FG80" s="48"/>
      <c r="FH80" s="48"/>
      <c r="FI80" s="48"/>
      <c r="FJ80" s="48"/>
      <c r="FK80" s="48"/>
      <c r="FL80" s="48"/>
      <c r="FM80" s="48"/>
      <c r="FN80" s="48"/>
      <c r="FO80" s="48"/>
      <c r="FP80" s="48"/>
      <c r="FQ80" s="48"/>
      <c r="FR80" s="48"/>
      <c r="FS80" s="48"/>
      <c r="FT80" s="48"/>
      <c r="FU80" s="48"/>
      <c r="FV80" s="48"/>
      <c r="FW80" s="36"/>
      <c r="FX80" s="29">
        <f t="shared" si="2"/>
        <v>0</v>
      </c>
      <c r="FY80" s="29">
        <f t="shared" si="7"/>
        <v>0</v>
      </c>
      <c r="FZ80" s="29">
        <f t="shared" si="8"/>
        <v>13</v>
      </c>
      <c r="GA80" s="29">
        <f t="shared" si="9"/>
        <v>0</v>
      </c>
      <c r="GB80" s="36"/>
      <c r="GC80" s="41">
        <f t="shared" si="0"/>
        <v>13</v>
      </c>
      <c r="GD80" s="36"/>
      <c r="GE80" s="36"/>
      <c r="GF80" s="36"/>
      <c r="GG80" s="36"/>
      <c r="GH80" s="36"/>
      <c r="GI80" s="36"/>
      <c r="GJ80" s="36"/>
      <c r="GK80" s="36"/>
      <c r="GL80" s="36"/>
      <c r="GM80" s="36"/>
      <c r="GN80" s="36"/>
      <c r="GO80" s="36"/>
      <c r="GP80" s="36"/>
      <c r="GQ80" s="36"/>
      <c r="GR80" s="36"/>
      <c r="GS80" s="36"/>
      <c r="GT80" s="36"/>
      <c r="GU80" s="36"/>
      <c r="GV80" s="36"/>
      <c r="GW80" s="36"/>
      <c r="GX80" s="36"/>
      <c r="GY80" s="36"/>
      <c r="GZ80" s="36"/>
      <c r="HA80" s="36"/>
      <c r="HB80" s="36"/>
      <c r="HC80" s="36"/>
      <c r="HD80" s="36"/>
      <c r="HE80" s="36"/>
      <c r="HF80" s="36"/>
      <c r="HG80" s="36"/>
      <c r="HH80" s="36"/>
      <c r="HI80" s="36"/>
      <c r="HJ80" s="36"/>
      <c r="HK80" s="36"/>
      <c r="HL80" s="36"/>
      <c r="HM80" s="36"/>
      <c r="HN80" s="36"/>
      <c r="HO80" s="36"/>
      <c r="HP80" s="36"/>
      <c r="HQ80" s="36"/>
      <c r="HR80" s="36"/>
      <c r="HS80" s="36"/>
      <c r="HT80" s="36"/>
      <c r="HU80" s="36"/>
      <c r="HV80" s="36"/>
      <c r="HW80" s="36"/>
      <c r="HX80" s="36"/>
      <c r="HY80" s="36"/>
      <c r="HZ80" s="36"/>
      <c r="IA80" s="36"/>
    </row>
    <row r="81" spans="1:235">
      <c r="A81" s="42" t="s">
        <v>1619</v>
      </c>
      <c r="B81" s="28"/>
      <c r="C81" s="29"/>
      <c r="D81" s="29"/>
      <c r="E81" s="28"/>
      <c r="F81" s="28"/>
      <c r="G81" s="28"/>
      <c r="H81" s="28"/>
      <c r="I81" s="28"/>
      <c r="J81" s="28"/>
      <c r="K81" s="28"/>
      <c r="L81" s="28"/>
      <c r="M81" s="31">
        <f>SUMIF(C$5:C$38,"Geo NA Canada",M$5:M$38)</f>
        <v>0</v>
      </c>
      <c r="N81" s="34"/>
      <c r="O81" s="29"/>
      <c r="P81" s="29"/>
      <c r="Q81" s="29"/>
      <c r="R81" s="33"/>
      <c r="S81" s="33"/>
      <c r="T81" s="34"/>
      <c r="U81" s="34"/>
      <c r="V81" s="34"/>
      <c r="W81" s="34"/>
      <c r="X81" s="34"/>
      <c r="Y81" s="34"/>
      <c r="Z81" s="31">
        <f>SUMIF(P$5:P$38,"Geo NA Canada",Z$5:Z$38)</f>
        <v>47</v>
      </c>
      <c r="AA81" s="34"/>
      <c r="AB81" s="29"/>
      <c r="AC81" s="29"/>
      <c r="AD81" s="29"/>
      <c r="AE81" s="33"/>
      <c r="AF81" s="33"/>
      <c r="AG81" s="34"/>
      <c r="AH81" s="34"/>
      <c r="AI81" s="34"/>
      <c r="AJ81" s="34"/>
      <c r="AK81" s="34"/>
      <c r="AL81" s="34"/>
      <c r="AM81" s="31">
        <f>SUMIF(AC$5:AC$38,"Geo NA Canada",AM$5:AM$38)</f>
        <v>2</v>
      </c>
      <c r="AN81" s="34"/>
      <c r="AO81" s="29"/>
      <c r="AP81" s="29"/>
      <c r="AQ81" s="29"/>
      <c r="AR81" s="29"/>
      <c r="AS81" s="29"/>
      <c r="AT81" s="29"/>
      <c r="AU81" s="29"/>
      <c r="AV81" s="29"/>
      <c r="AW81" s="29"/>
      <c r="AX81" s="29"/>
      <c r="AY81" s="34"/>
      <c r="AZ81" s="31">
        <f>SUMIF(AP$5:AP$38,"Geo NA Canada",AZ$5:AZ$38)</f>
        <v>24</v>
      </c>
      <c r="BA81" s="34"/>
      <c r="BB81" s="29"/>
      <c r="BC81" s="29"/>
      <c r="BD81" s="29"/>
      <c r="BE81" s="29"/>
      <c r="BF81" s="29"/>
      <c r="BG81" s="29"/>
      <c r="BH81" s="29"/>
      <c r="BI81" s="29"/>
      <c r="BJ81" s="29"/>
      <c r="BK81" s="29"/>
      <c r="BL81" s="34"/>
      <c r="BM81" s="31">
        <f>SUMIF(BC$5:BC$38,"Geo NA Canada",BM$5:BM$38)</f>
        <v>0</v>
      </c>
      <c r="BN81" s="34"/>
      <c r="BO81" s="29"/>
      <c r="BP81" s="29"/>
      <c r="BQ81" s="29"/>
      <c r="BR81" s="29"/>
      <c r="BS81" s="29"/>
      <c r="BT81" s="29"/>
      <c r="BU81" s="29"/>
      <c r="BV81" s="29"/>
      <c r="BW81" s="29"/>
      <c r="BX81" s="29"/>
      <c r="BY81" s="29"/>
      <c r="BZ81" s="31">
        <f>SUMIF(BP$5:BP$38,"Geo NA Canada",BZ$5:BZ$38)</f>
        <v>0</v>
      </c>
      <c r="CA81" s="34"/>
      <c r="CB81" s="29"/>
      <c r="CC81" s="29"/>
      <c r="CD81" s="33"/>
      <c r="CE81" s="33"/>
      <c r="CF81" s="33"/>
      <c r="CG81" s="33"/>
      <c r="CH81" s="33"/>
      <c r="CI81" s="33"/>
      <c r="CJ81" s="33"/>
      <c r="CK81" s="33"/>
      <c r="CL81" s="33"/>
      <c r="CM81" s="31">
        <f>SUMIF(CC$5:CC$38,"Geo NA Canada",CM$5:CM$38)</f>
        <v>2</v>
      </c>
      <c r="CN81" s="34"/>
      <c r="CO81" s="33"/>
      <c r="CP81" s="33"/>
      <c r="CQ81" s="33"/>
      <c r="CR81" s="33"/>
      <c r="CS81" s="33"/>
      <c r="CT81" s="33"/>
      <c r="CU81" s="33"/>
      <c r="CV81" s="33"/>
      <c r="CW81" s="33"/>
      <c r="CX81" s="33"/>
      <c r="CY81" s="34"/>
      <c r="CZ81" s="31" t="e">
        <f>SUMIF(CP$7:CP$37,"Geo NA Canada",CZ$7:CZ$37)</f>
        <v>#REF!</v>
      </c>
      <c r="DA81" s="34"/>
      <c r="DB81" s="33"/>
      <c r="DC81" s="33"/>
      <c r="DD81" s="33"/>
      <c r="DE81" s="33"/>
      <c r="DF81" s="33"/>
      <c r="DG81" s="33"/>
      <c r="DH81" s="33"/>
      <c r="DI81" s="33"/>
      <c r="DJ81" s="33"/>
      <c r="DK81" s="33"/>
      <c r="DL81" s="34"/>
      <c r="DM81" s="31">
        <f>SUMIF(DC$5:DC$38,"Geo NA Canada",DM$5:DM$38)</f>
        <v>0</v>
      </c>
      <c r="DN81" s="34"/>
      <c r="DO81" s="33"/>
      <c r="DP81" s="33"/>
      <c r="DQ81" s="33"/>
      <c r="DR81" s="33"/>
      <c r="DS81" s="33"/>
      <c r="DT81" s="33"/>
      <c r="DU81" s="33"/>
      <c r="DV81" s="33"/>
      <c r="DW81" s="33"/>
      <c r="DX81" s="34"/>
      <c r="DY81" s="34"/>
      <c r="DZ81" s="31">
        <f>SUMIF(DP$5:DP$38,"Geo NA Canada",DZ$5:DZ$38)</f>
        <v>25</v>
      </c>
      <c r="EA81" s="34"/>
      <c r="EB81" s="33"/>
      <c r="EC81" s="33"/>
      <c r="ED81" s="33"/>
      <c r="EE81" s="33"/>
      <c r="EF81" s="33"/>
      <c r="EG81" s="33"/>
      <c r="EH81" s="33"/>
      <c r="EI81" s="33"/>
      <c r="EJ81" s="33"/>
      <c r="EK81" s="33"/>
      <c r="EL81" s="34"/>
      <c r="EM81" s="31">
        <f>SUMIF(EC$5:EC$38,"Geo NA Canada",EM$5:EM$38)</f>
        <v>0</v>
      </c>
      <c r="EN81" s="34"/>
      <c r="EO81" s="33"/>
      <c r="EP81" s="33"/>
      <c r="EQ81" s="33"/>
      <c r="ER81" s="33"/>
      <c r="ES81" s="33"/>
      <c r="ET81" s="33"/>
      <c r="EU81" s="33"/>
      <c r="EV81" s="33"/>
      <c r="EW81" s="33"/>
      <c r="EX81" s="33"/>
      <c r="EY81" s="34"/>
      <c r="EZ81" s="31">
        <f>SUMIF(EP$5:EP$38,"Geo NA Canada",EZ$5:EZ$38)</f>
        <v>0</v>
      </c>
      <c r="FA81" s="34"/>
      <c r="FB81" s="36"/>
      <c r="FC81" s="48"/>
      <c r="FD81" s="48"/>
      <c r="FE81" s="48"/>
      <c r="FF81" s="48"/>
      <c r="FG81" s="48"/>
      <c r="FH81" s="48"/>
      <c r="FI81" s="48"/>
      <c r="FJ81" s="48"/>
      <c r="FK81" s="48"/>
      <c r="FL81" s="48"/>
      <c r="FM81" s="48"/>
      <c r="FN81" s="48"/>
      <c r="FO81" s="48"/>
      <c r="FP81" s="48"/>
      <c r="FQ81" s="48"/>
      <c r="FR81" s="48"/>
      <c r="FS81" s="48"/>
      <c r="FT81" s="48"/>
      <c r="FU81" s="48"/>
      <c r="FV81" s="48"/>
      <c r="FW81" s="36"/>
      <c r="FX81" s="29">
        <f t="shared" si="2"/>
        <v>49</v>
      </c>
      <c r="FY81" s="29">
        <f t="shared" si="7"/>
        <v>24</v>
      </c>
      <c r="FZ81" s="29" t="e">
        <f t="shared" si="8"/>
        <v>#REF!</v>
      </c>
      <c r="GA81" s="29">
        <f t="shared" si="9"/>
        <v>25</v>
      </c>
      <c r="GB81" s="36"/>
      <c r="GC81" s="41" t="e">
        <f t="shared" si="0"/>
        <v>#REF!</v>
      </c>
      <c r="GD81" s="36"/>
      <c r="GE81" s="36"/>
      <c r="GF81" s="36"/>
      <c r="GG81" s="36"/>
      <c r="GH81" s="36"/>
      <c r="GI81" s="36"/>
      <c r="GJ81" s="36"/>
      <c r="GK81" s="36"/>
      <c r="GL81" s="36"/>
      <c r="GM81" s="36"/>
      <c r="GN81" s="36"/>
      <c r="GO81" s="36"/>
      <c r="GP81" s="36"/>
      <c r="GQ81" s="36"/>
      <c r="GR81" s="36"/>
      <c r="GS81" s="36"/>
      <c r="GT81" s="36"/>
      <c r="GU81" s="36"/>
      <c r="GV81" s="36"/>
      <c r="GW81" s="36"/>
      <c r="GX81" s="36"/>
      <c r="GY81" s="36"/>
      <c r="GZ81" s="36"/>
      <c r="HA81" s="36"/>
      <c r="HB81" s="36"/>
      <c r="HC81" s="36"/>
      <c r="HD81" s="36"/>
      <c r="HE81" s="36"/>
      <c r="HF81" s="36"/>
      <c r="HG81" s="36"/>
      <c r="HH81" s="36"/>
      <c r="HI81" s="36"/>
      <c r="HJ81" s="36"/>
      <c r="HK81" s="36"/>
      <c r="HL81" s="36"/>
      <c r="HM81" s="36"/>
      <c r="HN81" s="36"/>
      <c r="HO81" s="36"/>
      <c r="HP81" s="36"/>
      <c r="HQ81" s="36"/>
      <c r="HR81" s="36"/>
      <c r="HS81" s="36"/>
      <c r="HT81" s="36"/>
      <c r="HU81" s="36"/>
      <c r="HV81" s="36"/>
      <c r="HW81" s="36"/>
      <c r="HX81" s="36"/>
      <c r="HY81" s="36"/>
      <c r="HZ81" s="36"/>
      <c r="IA81" s="36"/>
    </row>
    <row r="82" spans="1:235">
      <c r="A82" s="42" t="s">
        <v>1620</v>
      </c>
      <c r="B82" s="28"/>
      <c r="C82" s="29"/>
      <c r="D82" s="29"/>
      <c r="E82" s="28"/>
      <c r="F82" s="28"/>
      <c r="G82" s="28"/>
      <c r="H82" s="28"/>
      <c r="I82" s="28"/>
      <c r="J82" s="28"/>
      <c r="K82" s="28"/>
      <c r="L82" s="28"/>
      <c r="M82" s="31">
        <f>SUMIF(C$5:C$38,"Geo NA US",M$5:M$38)</f>
        <v>0</v>
      </c>
      <c r="N82" s="34"/>
      <c r="O82" s="29"/>
      <c r="P82" s="29"/>
      <c r="Q82" s="29"/>
      <c r="R82" s="33"/>
      <c r="S82" s="33"/>
      <c r="T82" s="34"/>
      <c r="U82" s="34"/>
      <c r="V82" s="34"/>
      <c r="W82" s="34"/>
      <c r="X82" s="34"/>
      <c r="Y82" s="34"/>
      <c r="Z82" s="31">
        <f>SUMIF(P$5:P$38,"Geo NA US",Z$5:Z$38)</f>
        <v>0</v>
      </c>
      <c r="AA82" s="34"/>
      <c r="AB82" s="29"/>
      <c r="AC82" s="29"/>
      <c r="AD82" s="29"/>
      <c r="AE82" s="33"/>
      <c r="AF82" s="33"/>
      <c r="AG82" s="34"/>
      <c r="AH82" s="34"/>
      <c r="AI82" s="34"/>
      <c r="AJ82" s="34"/>
      <c r="AK82" s="34"/>
      <c r="AL82" s="34"/>
      <c r="AM82" s="31">
        <f>SUMIF(AC$5:AC$38,"Geo NA US",AM$5:AM$38)</f>
        <v>18</v>
      </c>
      <c r="AN82" s="34"/>
      <c r="AO82" s="29"/>
      <c r="AP82" s="29"/>
      <c r="AQ82" s="29"/>
      <c r="AR82" s="29"/>
      <c r="AS82" s="29"/>
      <c r="AT82" s="29"/>
      <c r="AU82" s="29"/>
      <c r="AV82" s="29"/>
      <c r="AW82" s="29"/>
      <c r="AX82" s="29"/>
      <c r="AY82" s="34"/>
      <c r="AZ82" s="31">
        <f>SUMIF(AP$5:AP$38,"Geo NA US",AZ$5:AZ$38)</f>
        <v>10</v>
      </c>
      <c r="BA82" s="34"/>
      <c r="BB82" s="29"/>
      <c r="BC82" s="29"/>
      <c r="BD82" s="29"/>
      <c r="BE82" s="29"/>
      <c r="BF82" s="29"/>
      <c r="BG82" s="29"/>
      <c r="BH82" s="29"/>
      <c r="BI82" s="29"/>
      <c r="BJ82" s="29"/>
      <c r="BK82" s="29"/>
      <c r="BL82" s="34"/>
      <c r="BM82" s="31">
        <f>SUMIF(BC$5:BC$38,"Geo NA US",BM$5:BM$38)</f>
        <v>0</v>
      </c>
      <c r="BN82" s="34"/>
      <c r="BO82" s="29"/>
      <c r="BP82" s="29"/>
      <c r="BQ82" s="29"/>
      <c r="BR82" s="29"/>
      <c r="BS82" s="29"/>
      <c r="BT82" s="29"/>
      <c r="BU82" s="29"/>
      <c r="BV82" s="29"/>
      <c r="BW82" s="29"/>
      <c r="BX82" s="29"/>
      <c r="BY82" s="29"/>
      <c r="BZ82" s="31">
        <f>SUMIF(BP$5:BP$38,"Geo NA US",BZ$5:BZ$38)</f>
        <v>0</v>
      </c>
      <c r="CA82" s="34"/>
      <c r="CB82" s="29"/>
      <c r="CC82" s="29"/>
      <c r="CD82" s="33"/>
      <c r="CE82" s="33"/>
      <c r="CF82" s="33"/>
      <c r="CG82" s="33"/>
      <c r="CH82" s="33"/>
      <c r="CI82" s="33"/>
      <c r="CJ82" s="33"/>
      <c r="CK82" s="33"/>
      <c r="CL82" s="33"/>
      <c r="CM82" s="31">
        <f>SUMIF(CC$5:CC$38,"Geo NA US",CM$5:CM$38)</f>
        <v>16</v>
      </c>
      <c r="CN82" s="34"/>
      <c r="CO82" s="33"/>
      <c r="CP82" s="33"/>
      <c r="CQ82" s="33"/>
      <c r="CR82" s="33"/>
      <c r="CS82" s="33"/>
      <c r="CT82" s="33"/>
      <c r="CU82" s="33"/>
      <c r="CV82" s="33"/>
      <c r="CW82" s="33"/>
      <c r="CX82" s="33"/>
      <c r="CY82" s="34"/>
      <c r="CZ82" s="31">
        <f>SUMIF(CP$7:CP$37,"Geo NA US",CZ$7:CZ$37)</f>
        <v>40</v>
      </c>
      <c r="DA82" s="34"/>
      <c r="DB82" s="33"/>
      <c r="DC82" s="33"/>
      <c r="DD82" s="33"/>
      <c r="DE82" s="33"/>
      <c r="DF82" s="33"/>
      <c r="DG82" s="33"/>
      <c r="DH82" s="33"/>
      <c r="DI82" s="33"/>
      <c r="DJ82" s="33"/>
      <c r="DK82" s="33"/>
      <c r="DL82" s="34"/>
      <c r="DM82" s="31">
        <f>SUMIF(DC$5:DC$38,"Geo NA US",DM$5:DM$38)</f>
        <v>27</v>
      </c>
      <c r="DN82" s="34"/>
      <c r="DO82" s="33"/>
      <c r="DP82" s="33"/>
      <c r="DQ82" s="33"/>
      <c r="DR82" s="33"/>
      <c r="DS82" s="33"/>
      <c r="DT82" s="33"/>
      <c r="DU82" s="33"/>
      <c r="DV82" s="33"/>
      <c r="DW82" s="33"/>
      <c r="DX82" s="34"/>
      <c r="DY82" s="34"/>
      <c r="DZ82" s="31">
        <f>SUMIF(DP$5:DP$38,"Geo NA US",DZ$5:DZ$38)</f>
        <v>29</v>
      </c>
      <c r="EA82" s="34"/>
      <c r="EB82" s="33"/>
      <c r="EC82" s="33"/>
      <c r="ED82" s="33"/>
      <c r="EE82" s="33"/>
      <c r="EF82" s="33"/>
      <c r="EG82" s="33"/>
      <c r="EH82" s="33"/>
      <c r="EI82" s="33"/>
      <c r="EJ82" s="33"/>
      <c r="EK82" s="33"/>
      <c r="EL82" s="34"/>
      <c r="EM82" s="31">
        <f>SUMIF(EC$5:EC$38,"Geo NA US",EM$5:EM$38)</f>
        <v>20</v>
      </c>
      <c r="EN82" s="34"/>
      <c r="EO82" s="33"/>
      <c r="EP82" s="33"/>
      <c r="EQ82" s="33"/>
      <c r="ER82" s="33"/>
      <c r="ES82" s="33"/>
      <c r="ET82" s="33"/>
      <c r="EU82" s="33"/>
      <c r="EV82" s="33"/>
      <c r="EW82" s="33"/>
      <c r="EX82" s="33"/>
      <c r="EY82" s="34"/>
      <c r="EZ82" s="31">
        <f>SUMIF(EP$5:EP$38,"Geo NA US",EZ$5:EZ$38)</f>
        <v>0</v>
      </c>
      <c r="FA82" s="34"/>
      <c r="FB82" s="36"/>
      <c r="FC82" s="48"/>
      <c r="FD82" s="48"/>
      <c r="FE82" s="48"/>
      <c r="FF82" s="48"/>
      <c r="FG82" s="48"/>
      <c r="FH82" s="48"/>
      <c r="FI82" s="48"/>
      <c r="FJ82" s="48"/>
      <c r="FK82" s="48"/>
      <c r="FL82" s="48"/>
      <c r="FM82" s="48"/>
      <c r="FN82" s="48"/>
      <c r="FO82" s="48"/>
      <c r="FP82" s="48"/>
      <c r="FQ82" s="48"/>
      <c r="FR82" s="48"/>
      <c r="FS82" s="48"/>
      <c r="FT82" s="48"/>
      <c r="FU82" s="48"/>
      <c r="FV82" s="48"/>
      <c r="FW82" s="36"/>
      <c r="FX82" s="29">
        <f t="shared" si="2"/>
        <v>18</v>
      </c>
      <c r="FY82" s="29">
        <f t="shared" si="7"/>
        <v>10</v>
      </c>
      <c r="FZ82" s="29">
        <f t="shared" si="8"/>
        <v>83</v>
      </c>
      <c r="GA82" s="29">
        <f t="shared" si="9"/>
        <v>49</v>
      </c>
      <c r="GB82" s="36"/>
      <c r="GC82" s="41">
        <f t="shared" si="0"/>
        <v>160</v>
      </c>
      <c r="GD82" s="36"/>
      <c r="GE82" s="36"/>
      <c r="GF82" s="36"/>
      <c r="GG82" s="36"/>
      <c r="GH82" s="36"/>
      <c r="GI82" s="36"/>
      <c r="GJ82" s="36"/>
      <c r="GK82" s="36"/>
      <c r="GL82" s="36"/>
      <c r="GM82" s="36"/>
      <c r="GN82" s="36"/>
      <c r="GO82" s="36"/>
      <c r="GP82" s="36"/>
      <c r="GQ82" s="36"/>
      <c r="GR82" s="36"/>
      <c r="GS82" s="36"/>
      <c r="GT82" s="36"/>
      <c r="GU82" s="36"/>
      <c r="GV82" s="36"/>
      <c r="GW82" s="36"/>
      <c r="GX82" s="36"/>
      <c r="GY82" s="36"/>
      <c r="GZ82" s="36"/>
      <c r="HA82" s="36"/>
      <c r="HB82" s="36"/>
      <c r="HC82" s="36"/>
      <c r="HD82" s="36"/>
      <c r="HE82" s="36"/>
      <c r="HF82" s="36"/>
      <c r="HG82" s="36"/>
      <c r="HH82" s="36"/>
      <c r="HI82" s="36"/>
      <c r="HJ82" s="36"/>
      <c r="HK82" s="36"/>
      <c r="HL82" s="36"/>
      <c r="HM82" s="36"/>
      <c r="HN82" s="36"/>
      <c r="HO82" s="36"/>
      <c r="HP82" s="36"/>
      <c r="HQ82" s="36"/>
      <c r="HR82" s="36"/>
      <c r="HS82" s="36"/>
      <c r="HT82" s="36"/>
      <c r="HU82" s="36"/>
      <c r="HV82" s="36"/>
      <c r="HW82" s="36"/>
      <c r="HX82" s="36"/>
      <c r="HY82" s="36"/>
      <c r="HZ82" s="36"/>
      <c r="IA82" s="36"/>
    </row>
    <row r="83" spans="1:235">
      <c r="A83" s="42" t="s">
        <v>1621</v>
      </c>
      <c r="B83" s="28"/>
      <c r="C83" s="29"/>
      <c r="D83" s="29"/>
      <c r="E83" s="28"/>
      <c r="F83" s="28"/>
      <c r="G83" s="28"/>
      <c r="H83" s="28"/>
      <c r="I83" s="28"/>
      <c r="J83" s="28"/>
      <c r="K83" s="28"/>
      <c r="L83" s="28"/>
      <c r="M83" s="31">
        <f>SUMIF(C$5:C$38,"Geo WE",M$5:M$38)</f>
        <v>0</v>
      </c>
      <c r="N83" s="34"/>
      <c r="O83" s="29"/>
      <c r="P83" s="29"/>
      <c r="Q83" s="29"/>
      <c r="R83" s="33"/>
      <c r="S83" s="33"/>
      <c r="T83" s="34"/>
      <c r="U83" s="34"/>
      <c r="V83" s="34"/>
      <c r="W83" s="34"/>
      <c r="X83" s="34"/>
      <c r="Y83" s="34"/>
      <c r="Z83" s="31">
        <f>SUMIF(P$5:P$38,"Geo WE",Z$5:Z$38)</f>
        <v>6</v>
      </c>
      <c r="AA83" s="34"/>
      <c r="AB83" s="29"/>
      <c r="AC83" s="29"/>
      <c r="AD83" s="29"/>
      <c r="AE83" s="33"/>
      <c r="AF83" s="33"/>
      <c r="AG83" s="34"/>
      <c r="AH83" s="34"/>
      <c r="AI83" s="34"/>
      <c r="AJ83" s="34"/>
      <c r="AK83" s="34"/>
      <c r="AL83" s="34"/>
      <c r="AM83" s="31">
        <f>SUMIF(AC$5:AC$38,"Geo WE",AM$5:AM$38)</f>
        <v>0</v>
      </c>
      <c r="AN83" s="34"/>
      <c r="AO83" s="29"/>
      <c r="AP83" s="29"/>
      <c r="AQ83" s="29"/>
      <c r="AR83" s="29"/>
      <c r="AS83" s="29"/>
      <c r="AT83" s="29"/>
      <c r="AU83" s="29"/>
      <c r="AV83" s="29"/>
      <c r="AW83" s="29"/>
      <c r="AX83" s="29"/>
      <c r="AY83" s="34"/>
      <c r="AZ83" s="31" t="e">
        <f>SUMIF(AP$5:AP$38,"Geo WE",AZ$5:AZ$38)</f>
        <v>#REF!</v>
      </c>
      <c r="BA83" s="34"/>
      <c r="BB83" s="29"/>
      <c r="BC83" s="29"/>
      <c r="BD83" s="29"/>
      <c r="BE83" s="29"/>
      <c r="BF83" s="29"/>
      <c r="BG83" s="29"/>
      <c r="BH83" s="29"/>
      <c r="BI83" s="29"/>
      <c r="BJ83" s="29"/>
      <c r="BK83" s="29"/>
      <c r="BL83" s="34"/>
      <c r="BM83" s="31">
        <f>SUMIF(BC$5:BC$38,"Geo WE",BM$5:BM$38)</f>
        <v>0</v>
      </c>
      <c r="BN83" s="34"/>
      <c r="BO83" s="29"/>
      <c r="BP83" s="29"/>
      <c r="BQ83" s="29"/>
      <c r="BR83" s="29"/>
      <c r="BS83" s="29"/>
      <c r="BT83" s="29"/>
      <c r="BU83" s="29"/>
      <c r="BV83" s="29"/>
      <c r="BW83" s="29"/>
      <c r="BX83" s="29"/>
      <c r="BY83" s="29"/>
      <c r="BZ83" s="31">
        <f>SUMIF(BP$5:BP$38,"Geo WE",BZ$5:BZ$38)</f>
        <v>0</v>
      </c>
      <c r="CA83" s="34"/>
      <c r="CB83" s="29"/>
      <c r="CC83" s="29"/>
      <c r="CD83" s="33"/>
      <c r="CE83" s="33"/>
      <c r="CF83" s="33"/>
      <c r="CG83" s="33"/>
      <c r="CH83" s="33"/>
      <c r="CI83" s="33"/>
      <c r="CJ83" s="33"/>
      <c r="CK83" s="33"/>
      <c r="CL83" s="33"/>
      <c r="CM83" s="31">
        <f>SUMIF(CC$5:CC$38,"Geo WE",CM$5:CM$38)</f>
        <v>0</v>
      </c>
      <c r="CN83" s="34"/>
      <c r="CO83" s="33"/>
      <c r="CP83" s="33"/>
      <c r="CQ83" s="33"/>
      <c r="CR83" s="33"/>
      <c r="CS83" s="33"/>
      <c r="CT83" s="33"/>
      <c r="CU83" s="33"/>
      <c r="CV83" s="33"/>
      <c r="CW83" s="33"/>
      <c r="CX83" s="33"/>
      <c r="CY83" s="34"/>
      <c r="CZ83" s="31">
        <f>SUMIF(CP$7:CP$37,"Geo WE",CZ$7:CZ$37)</f>
        <v>25</v>
      </c>
      <c r="DA83" s="34"/>
      <c r="DB83" s="33"/>
      <c r="DC83" s="33"/>
      <c r="DD83" s="33"/>
      <c r="DE83" s="33"/>
      <c r="DF83" s="33"/>
      <c r="DG83" s="33"/>
      <c r="DH83" s="33"/>
      <c r="DI83" s="33"/>
      <c r="DJ83" s="33"/>
      <c r="DK83" s="33"/>
      <c r="DL83" s="34"/>
      <c r="DM83" s="31">
        <f>SUMIF(DC$5:DC$38,"Geo WE",DM$5:DM$38)</f>
        <v>68</v>
      </c>
      <c r="DN83" s="34"/>
      <c r="DO83" s="33"/>
      <c r="DP83" s="33"/>
      <c r="DQ83" s="33"/>
      <c r="DR83" s="33"/>
      <c r="DS83" s="33"/>
      <c r="DT83" s="33"/>
      <c r="DU83" s="33"/>
      <c r="DV83" s="33"/>
      <c r="DW83" s="33"/>
      <c r="DX83" s="34"/>
      <c r="DY83" s="34"/>
      <c r="DZ83" s="31">
        <f>SUMIF(DP$5:DP$38,"Geo WE",DZ$5:DZ$38)</f>
        <v>56</v>
      </c>
      <c r="EA83" s="34"/>
      <c r="EB83" s="33"/>
      <c r="EC83" s="33"/>
      <c r="ED83" s="33"/>
      <c r="EE83" s="33"/>
      <c r="EF83" s="33"/>
      <c r="EG83" s="33"/>
      <c r="EH83" s="33"/>
      <c r="EI83" s="33"/>
      <c r="EJ83" s="33"/>
      <c r="EK83" s="33"/>
      <c r="EL83" s="34"/>
      <c r="EM83" s="31">
        <f>SUMIF(EC$5:EC$38,"Geo WE",EM$5:EM$38)</f>
        <v>25</v>
      </c>
      <c r="EN83" s="34"/>
      <c r="EO83" s="33"/>
      <c r="EP83" s="33"/>
      <c r="EQ83" s="33"/>
      <c r="ER83" s="33"/>
      <c r="ES83" s="33"/>
      <c r="ET83" s="33"/>
      <c r="EU83" s="33"/>
      <c r="EV83" s="33"/>
      <c r="EW83" s="33"/>
      <c r="EX83" s="33"/>
      <c r="EY83" s="34"/>
      <c r="EZ83" s="31">
        <f>SUMIF(EP$5:EP$38,"Geo WE",EZ$5:EZ$38)</f>
        <v>0</v>
      </c>
      <c r="FA83" s="34"/>
      <c r="FB83" s="36"/>
      <c r="FC83" s="48"/>
      <c r="FD83" s="48"/>
      <c r="FE83" s="48"/>
      <c r="FF83" s="48"/>
      <c r="FG83" s="48"/>
      <c r="FH83" s="48"/>
      <c r="FI83" s="48"/>
      <c r="FJ83" s="48"/>
      <c r="FK83" s="48"/>
      <c r="FL83" s="48"/>
      <c r="FM83" s="48"/>
      <c r="FN83" s="48"/>
      <c r="FO83" s="48"/>
      <c r="FP83" s="48"/>
      <c r="FQ83" s="48"/>
      <c r="FR83" s="48"/>
      <c r="FS83" s="48"/>
      <c r="FT83" s="48"/>
      <c r="FU83" s="48"/>
      <c r="FV83" s="48"/>
      <c r="FW83" s="36"/>
      <c r="FX83" s="29">
        <f t="shared" si="2"/>
        <v>6</v>
      </c>
      <c r="FY83" s="29" t="e">
        <f t="shared" si="7"/>
        <v>#REF!</v>
      </c>
      <c r="FZ83" s="29">
        <f t="shared" si="8"/>
        <v>93</v>
      </c>
      <c r="GA83" s="29">
        <f t="shared" si="9"/>
        <v>81</v>
      </c>
      <c r="GB83" s="36"/>
      <c r="GC83" s="41" t="e">
        <f t="shared" si="0"/>
        <v>#REF!</v>
      </c>
      <c r="GD83" s="36"/>
      <c r="GE83" s="36"/>
      <c r="GF83" s="36"/>
      <c r="GG83" s="36"/>
      <c r="GH83" s="36"/>
      <c r="GI83" s="36"/>
      <c r="GJ83" s="36"/>
      <c r="GK83" s="36"/>
      <c r="GL83" s="36"/>
      <c r="GM83" s="36"/>
      <c r="GN83" s="36"/>
      <c r="GO83" s="36"/>
      <c r="GP83" s="36"/>
      <c r="GQ83" s="36"/>
      <c r="GR83" s="36"/>
      <c r="GS83" s="36"/>
      <c r="GT83" s="36"/>
      <c r="GU83" s="36"/>
      <c r="GV83" s="36"/>
      <c r="GW83" s="36"/>
      <c r="GX83" s="36"/>
      <c r="GY83" s="36"/>
      <c r="GZ83" s="36"/>
      <c r="HA83" s="36"/>
      <c r="HB83" s="36"/>
      <c r="HC83" s="36"/>
      <c r="HD83" s="36"/>
      <c r="HE83" s="36"/>
      <c r="HF83" s="36"/>
      <c r="HG83" s="36"/>
      <c r="HH83" s="36"/>
      <c r="HI83" s="36"/>
      <c r="HJ83" s="36"/>
      <c r="HK83" s="36"/>
      <c r="HL83" s="36"/>
      <c r="HM83" s="36"/>
      <c r="HN83" s="36"/>
      <c r="HO83" s="36"/>
      <c r="HP83" s="36"/>
      <c r="HQ83" s="36"/>
      <c r="HR83" s="36"/>
      <c r="HS83" s="36"/>
      <c r="HT83" s="36"/>
      <c r="HU83" s="36"/>
      <c r="HV83" s="36"/>
      <c r="HW83" s="36"/>
      <c r="HX83" s="36"/>
      <c r="HY83" s="36"/>
      <c r="HZ83" s="36"/>
      <c r="IA83" s="36"/>
    </row>
    <row r="84" spans="1:235">
      <c r="A84" s="28" t="s">
        <v>1622</v>
      </c>
      <c r="B84" s="28"/>
      <c r="C84" s="29"/>
      <c r="D84" s="29"/>
      <c r="E84" s="33"/>
      <c r="F84" s="33"/>
      <c r="G84" s="34"/>
      <c r="H84" s="34"/>
      <c r="I84" s="34"/>
      <c r="J84" s="34"/>
      <c r="K84" s="34"/>
      <c r="L84" s="34"/>
      <c r="M84" s="23" t="e">
        <f>SUMIFS(M3:M38, B3:B38, "=CIC")</f>
        <v>#REF!</v>
      </c>
      <c r="N84" s="29"/>
      <c r="O84" s="29"/>
      <c r="P84" s="29"/>
      <c r="Q84" s="29"/>
      <c r="R84" s="33"/>
      <c r="S84" s="33"/>
      <c r="T84" s="34"/>
      <c r="U84" s="34"/>
      <c r="V84" s="34"/>
      <c r="W84" s="34"/>
      <c r="X84" s="34"/>
      <c r="Y84" s="34"/>
      <c r="Z84" s="23" t="e">
        <f>SUMIFS(Z3:Z38, O3:O38, "=CIC")</f>
        <v>#REF!</v>
      </c>
      <c r="AA84" s="29"/>
      <c r="AB84" s="29"/>
      <c r="AC84" s="29"/>
      <c r="AD84" s="29"/>
      <c r="AE84" s="33"/>
      <c r="AF84" s="33"/>
      <c r="AG84" s="34"/>
      <c r="AH84" s="34"/>
      <c r="AI84" s="34"/>
      <c r="AJ84" s="34"/>
      <c r="AK84" s="34"/>
      <c r="AL84" s="34"/>
      <c r="AM84" s="23" t="e">
        <f>SUMIFS(AM3:AM38, AB3:AB38, "=CIC")</f>
        <v>#REF!</v>
      </c>
      <c r="AN84" s="29"/>
      <c r="AO84" s="29"/>
      <c r="AP84" s="29"/>
      <c r="AQ84" s="29"/>
      <c r="AR84" s="29"/>
      <c r="AS84" s="29"/>
      <c r="AT84" s="29"/>
      <c r="AU84" s="29"/>
      <c r="AV84" s="29"/>
      <c r="AW84" s="29"/>
      <c r="AX84" s="29"/>
      <c r="AY84" s="29"/>
      <c r="AZ84" s="23">
        <f>SUMIFS(AZ4:AZ38, AO4:AO38, "=CIC")</f>
        <v>98</v>
      </c>
      <c r="BA84" s="29"/>
      <c r="BB84" s="29"/>
      <c r="BC84" s="29"/>
      <c r="BD84" s="29"/>
      <c r="BE84" s="29"/>
      <c r="BF84" s="29"/>
      <c r="BG84" s="29"/>
      <c r="BH84" s="29"/>
      <c r="BI84" s="29"/>
      <c r="BJ84" s="29"/>
      <c r="BK84" s="29"/>
      <c r="BL84" s="29"/>
      <c r="BM84" s="23" t="e">
        <f>SUMIFS(BM3:BM38, BB3:BB38, "=CIC")</f>
        <v>#REF!</v>
      </c>
      <c r="BN84" s="29"/>
      <c r="BO84" s="29"/>
      <c r="BP84" s="29"/>
      <c r="BQ84" s="29"/>
      <c r="BR84" s="29"/>
      <c r="BS84" s="29"/>
      <c r="BT84" s="29"/>
      <c r="BU84" s="29"/>
      <c r="BV84" s="29"/>
      <c r="BW84" s="29"/>
      <c r="BX84" s="29"/>
      <c r="BY84" s="29"/>
      <c r="BZ84" s="23">
        <f>SUMIFS(BZ3:BZ38, BO3:BO38, "=CIC")</f>
        <v>70</v>
      </c>
      <c r="CA84" s="29"/>
      <c r="CB84" s="29"/>
      <c r="CC84" s="29"/>
      <c r="CD84" s="33"/>
      <c r="CE84" s="33"/>
      <c r="CF84" s="33"/>
      <c r="CG84" s="33"/>
      <c r="CH84" s="33"/>
      <c r="CI84" s="33"/>
      <c r="CJ84" s="33"/>
      <c r="CK84" s="33"/>
      <c r="CL84" s="33"/>
      <c r="CM84" s="23" t="e">
        <f>SUMIFS(CM4:CM38, CB4:CB38, "=CIC")</f>
        <v>#REF!</v>
      </c>
      <c r="CN84" s="29"/>
      <c r="CO84" s="33"/>
      <c r="CP84" s="33"/>
      <c r="CQ84" s="33"/>
      <c r="CR84" s="33"/>
      <c r="CS84" s="33"/>
      <c r="CT84" s="33"/>
      <c r="CU84" s="33"/>
      <c r="CV84" s="33"/>
      <c r="CW84" s="33"/>
      <c r="CX84" s="33"/>
      <c r="CY84" s="33"/>
      <c r="CZ84" s="23" t="e">
        <f>SUMIFS(CZ3:CZ37, CO3:CO37, "=CIC")</f>
        <v>#REF!</v>
      </c>
      <c r="DA84" s="29"/>
      <c r="DB84" s="33"/>
      <c r="DC84" s="33"/>
      <c r="DD84" s="33"/>
      <c r="DE84" s="33"/>
      <c r="DF84" s="33"/>
      <c r="DG84" s="33"/>
      <c r="DH84" s="33"/>
      <c r="DI84" s="33"/>
      <c r="DJ84" s="33"/>
      <c r="DK84" s="33"/>
      <c r="DL84" s="33"/>
      <c r="DM84" s="23" t="e">
        <f>SUMIFS(DM5:DM38, DB5:DB38, "=CIC")</f>
        <v>#REF!</v>
      </c>
      <c r="DN84" s="29"/>
      <c r="DO84" s="33"/>
      <c r="DP84" s="33"/>
      <c r="DQ84" s="33"/>
      <c r="DR84" s="33"/>
      <c r="DS84" s="33"/>
      <c r="DT84" s="33"/>
      <c r="DU84" s="33"/>
      <c r="DV84" s="33"/>
      <c r="DW84" s="33"/>
      <c r="DX84" s="34"/>
      <c r="DY84" s="34"/>
      <c r="DZ84" s="23" t="e">
        <f>SUMIFS(DZ5:DZ38, DO5:DO38, "=CIC")</f>
        <v>#REF!</v>
      </c>
      <c r="EA84" s="29"/>
      <c r="EB84" s="33"/>
      <c r="EC84" s="33"/>
      <c r="ED84" s="33"/>
      <c r="EE84" s="33"/>
      <c r="EF84" s="33"/>
      <c r="EG84" s="33"/>
      <c r="EH84" s="33"/>
      <c r="EI84" s="33"/>
      <c r="EJ84" s="33"/>
      <c r="EK84" s="33"/>
      <c r="EL84" s="33"/>
      <c r="EM84" s="23" t="e">
        <f>SUMIFS(EM4:EM38, EB4:EB38, "=CIC")</f>
        <v>#REF!</v>
      </c>
      <c r="EN84" s="29"/>
      <c r="EO84" s="33"/>
      <c r="EP84" s="33"/>
      <c r="EQ84" s="33"/>
      <c r="ER84" s="33"/>
      <c r="ES84" s="33"/>
      <c r="ET84" s="33"/>
      <c r="EU84" s="33"/>
      <c r="EV84" s="33"/>
      <c r="EW84" s="33"/>
      <c r="EX84" s="33"/>
      <c r="EY84" s="33"/>
      <c r="EZ84" s="23" t="e">
        <f>SUMIFS(EZ3:EZ38, EO3:EO38, "=CIC")</f>
        <v>#REF!</v>
      </c>
      <c r="FA84" s="29"/>
      <c r="FC84" s="48"/>
      <c r="FD84" s="48"/>
      <c r="FE84" s="48"/>
      <c r="FF84" s="48"/>
      <c r="FG84" s="48"/>
      <c r="FH84" s="48"/>
      <c r="FI84" s="48"/>
      <c r="FJ84" s="48"/>
      <c r="FK84" s="48"/>
      <c r="FL84" s="48"/>
      <c r="FM84" s="48"/>
      <c r="FN84" s="48"/>
      <c r="FO84" s="48"/>
      <c r="FP84" s="48"/>
      <c r="FQ84" s="48"/>
      <c r="FR84" s="48"/>
      <c r="FS84" s="48"/>
      <c r="FT84" s="48"/>
      <c r="FU84" s="48"/>
      <c r="FV84" s="48"/>
      <c r="FX84" s="29" t="e">
        <f t="shared" si="2"/>
        <v>#REF!</v>
      </c>
      <c r="FY84" s="29" t="e">
        <f t="shared" si="7"/>
        <v>#REF!</v>
      </c>
      <c r="FZ84" s="29" t="e">
        <f t="shared" si="8"/>
        <v>#REF!</v>
      </c>
      <c r="GA84" s="29" t="e">
        <f t="shared" si="9"/>
        <v>#REF!</v>
      </c>
      <c r="GB84" s="36"/>
      <c r="GC84" s="43" t="e">
        <f>SUM(FX84:GA84)</f>
        <v>#REF!</v>
      </c>
    </row>
    <row r="85" spans="1:235">
      <c r="A85" s="28" t="s">
        <v>1623</v>
      </c>
      <c r="B85" s="28"/>
      <c r="C85" s="29"/>
      <c r="D85" s="29"/>
      <c r="E85" s="33"/>
      <c r="F85" s="33"/>
      <c r="G85" s="34"/>
      <c r="H85" s="34"/>
      <c r="I85" s="34"/>
      <c r="J85" s="34"/>
      <c r="K85" s="34"/>
      <c r="L85" s="34"/>
      <c r="M85" s="23" t="e">
        <f>SUMIFS(M3:M38, B3:B38, "=Geo")</f>
        <v>#REF!</v>
      </c>
      <c r="N85" s="29"/>
      <c r="O85" s="29"/>
      <c r="P85" s="29"/>
      <c r="Q85" s="29"/>
      <c r="R85" s="33"/>
      <c r="S85" s="33"/>
      <c r="T85" s="34"/>
      <c r="U85" s="34"/>
      <c r="V85" s="34"/>
      <c r="W85" s="34"/>
      <c r="X85" s="34"/>
      <c r="Y85" s="34"/>
      <c r="Z85" s="23">
        <f>SUMIFS(Z3:Z38, O3:O38, "=Geo")</f>
        <v>76</v>
      </c>
      <c r="AA85" s="29"/>
      <c r="AB85" s="29"/>
      <c r="AC85" s="29"/>
      <c r="AD85" s="29"/>
      <c r="AE85" s="33"/>
      <c r="AF85" s="33"/>
      <c r="AG85" s="34"/>
      <c r="AH85" s="34"/>
      <c r="AI85" s="34"/>
      <c r="AJ85" s="34"/>
      <c r="AK85" s="34"/>
      <c r="AL85" s="34"/>
      <c r="AM85" s="23">
        <f>SUMIFS(AM3:AM38, AB3:AB38, "=Geo")</f>
        <v>20</v>
      </c>
      <c r="AN85" s="29"/>
      <c r="AO85" s="29"/>
      <c r="AP85" s="29"/>
      <c r="AQ85" s="29"/>
      <c r="AR85" s="29"/>
      <c r="AS85" s="29"/>
      <c r="AT85" s="29"/>
      <c r="AU85" s="29"/>
      <c r="AV85" s="29"/>
      <c r="AW85" s="29"/>
      <c r="AX85" s="29"/>
      <c r="AY85" s="29"/>
      <c r="AZ85" s="23" t="e">
        <f>SUMIFS(AZ4:AZ38, AO4:AO38, "=Geo")</f>
        <v>#REF!</v>
      </c>
      <c r="BA85" s="29"/>
      <c r="BB85" s="29"/>
      <c r="BC85" s="29"/>
      <c r="BD85" s="29"/>
      <c r="BE85" s="29"/>
      <c r="BF85" s="29"/>
      <c r="BG85" s="29"/>
      <c r="BH85" s="29"/>
      <c r="BI85" s="29"/>
      <c r="BJ85" s="29"/>
      <c r="BK85" s="29"/>
      <c r="BL85" s="29"/>
      <c r="BM85" s="23">
        <f>SUMIFS(BM3:BM38, BB3:BB38, "=Geo")</f>
        <v>18</v>
      </c>
      <c r="BN85" s="29"/>
      <c r="BO85" s="29"/>
      <c r="BP85" s="29"/>
      <c r="BQ85" s="29"/>
      <c r="BR85" s="29"/>
      <c r="BS85" s="29"/>
      <c r="BT85" s="29"/>
      <c r="BU85" s="29"/>
      <c r="BV85" s="29"/>
      <c r="BW85" s="29"/>
      <c r="BX85" s="29"/>
      <c r="BY85" s="29"/>
      <c r="BZ85" s="23">
        <f>SUMIFS(BZ3:BZ38, BO3:BO38, "=Geo")</f>
        <v>0</v>
      </c>
      <c r="CA85" s="29"/>
      <c r="CB85" s="29"/>
      <c r="CC85" s="29"/>
      <c r="CD85" s="33"/>
      <c r="CE85" s="33"/>
      <c r="CF85" s="33"/>
      <c r="CG85" s="33"/>
      <c r="CH85" s="33"/>
      <c r="CI85" s="33"/>
      <c r="CJ85" s="33"/>
      <c r="CK85" s="33"/>
      <c r="CL85" s="33"/>
      <c r="CM85" s="23">
        <f>SUMIFS(CM4:CM38, CB4:CB38, "=Geo")</f>
        <v>29</v>
      </c>
      <c r="CN85" s="29"/>
      <c r="CO85" s="33"/>
      <c r="CP85" s="33"/>
      <c r="CQ85" s="33"/>
      <c r="CR85" s="33"/>
      <c r="CS85" s="33"/>
      <c r="CT85" s="33"/>
      <c r="CU85" s="33"/>
      <c r="CV85" s="33"/>
      <c r="CW85" s="33"/>
      <c r="CX85" s="33"/>
      <c r="CY85" s="33"/>
      <c r="CZ85" s="23" t="e">
        <f>SUMIFS(CZ3:CZ37, CO3:CO37, "=Geo")</f>
        <v>#REF!</v>
      </c>
      <c r="DA85" s="29"/>
      <c r="DB85" s="33"/>
      <c r="DC85" s="33"/>
      <c r="DD85" s="33"/>
      <c r="DE85" s="33"/>
      <c r="DF85" s="33"/>
      <c r="DG85" s="33"/>
      <c r="DH85" s="33"/>
      <c r="DI85" s="33"/>
      <c r="DJ85" s="33"/>
      <c r="DK85" s="33"/>
      <c r="DL85" s="33"/>
      <c r="DM85" s="23">
        <f>SUMIFS(DM4:DM38, DB4:DB38, "=Geo")</f>
        <v>110</v>
      </c>
      <c r="DN85" s="29"/>
      <c r="DO85" s="33"/>
      <c r="DP85" s="33"/>
      <c r="DQ85" s="33"/>
      <c r="DR85" s="33"/>
      <c r="DS85" s="33"/>
      <c r="DT85" s="33"/>
      <c r="DU85" s="33"/>
      <c r="DV85" s="33"/>
      <c r="DW85" s="33"/>
      <c r="DX85" s="33"/>
      <c r="DY85" s="33"/>
      <c r="DZ85" s="23">
        <f>SUMIFS(DZ4:DZ38, DO4:DO38, "=Geo")</f>
        <v>148</v>
      </c>
      <c r="EA85" s="29"/>
      <c r="EB85" s="33"/>
      <c r="EC85" s="33"/>
      <c r="ED85" s="33"/>
      <c r="EE85" s="33"/>
      <c r="EF85" s="33"/>
      <c r="EG85" s="33"/>
      <c r="EH85" s="33"/>
      <c r="EI85" s="33"/>
      <c r="EJ85" s="33"/>
      <c r="EK85" s="33"/>
      <c r="EL85" s="33"/>
      <c r="EM85" s="23">
        <f>SUMIFS(EM4:EM38, EB4:EB38, "=Geo")</f>
        <v>45</v>
      </c>
      <c r="EN85" s="29"/>
      <c r="EO85" s="33"/>
      <c r="EP85" s="33"/>
      <c r="EQ85" s="33"/>
      <c r="ER85" s="33"/>
      <c r="ES85" s="33"/>
      <c r="ET85" s="33"/>
      <c r="EU85" s="33"/>
      <c r="EV85" s="33"/>
      <c r="EW85" s="33"/>
      <c r="EX85" s="33"/>
      <c r="EY85" s="33"/>
      <c r="EZ85" s="23">
        <f>SUMIFS(EZ3:EZ38, EO3:EO38, "=Geo")</f>
        <v>0</v>
      </c>
      <c r="FA85" s="29"/>
      <c r="FC85" s="48"/>
      <c r="FD85" s="48"/>
      <c r="FE85" s="48"/>
      <c r="FF85" s="48"/>
      <c r="FG85" s="48"/>
      <c r="FH85" s="48"/>
      <c r="FI85" s="48"/>
      <c r="FJ85" s="48"/>
      <c r="FK85" s="48"/>
      <c r="FL85" s="48"/>
      <c r="FM85" s="48"/>
      <c r="FN85" s="48"/>
      <c r="FO85" s="48"/>
      <c r="FP85" s="48"/>
      <c r="FQ85" s="48"/>
      <c r="FR85" s="48"/>
      <c r="FS85" s="48"/>
      <c r="FT85" s="48"/>
      <c r="FU85" s="48"/>
      <c r="FV85" s="48"/>
      <c r="FX85" s="29" t="e">
        <f>SUM(M85,Z85,AM85)</f>
        <v>#REF!</v>
      </c>
      <c r="FY85" s="29" t="e">
        <f t="shared" si="7"/>
        <v>#REF!</v>
      </c>
      <c r="FZ85" s="29" t="e">
        <f t="shared" si="8"/>
        <v>#REF!</v>
      </c>
      <c r="GA85" s="29">
        <f t="shared" si="9"/>
        <v>193</v>
      </c>
      <c r="GC85" s="43" t="e">
        <f t="shared" si="0"/>
        <v>#REF!</v>
      </c>
    </row>
    <row r="86" spans="1:235" s="36" customFormat="1">
      <c r="A86" s="28" t="s">
        <v>1624</v>
      </c>
      <c r="B86" s="28"/>
      <c r="C86" s="29"/>
      <c r="D86" s="29"/>
      <c r="E86" s="33"/>
      <c r="F86" s="33"/>
      <c r="G86" s="34"/>
      <c r="H86" s="34"/>
      <c r="I86" s="34"/>
      <c r="J86" s="34"/>
      <c r="K86" s="34"/>
      <c r="L86" s="34"/>
      <c r="M86" s="29" t="e">
        <f>SUM(M3:M28)</f>
        <v>#REF!</v>
      </c>
      <c r="N86" s="29"/>
      <c r="O86" s="29"/>
      <c r="P86" s="29"/>
      <c r="Q86" s="29"/>
      <c r="R86" s="33"/>
      <c r="S86" s="33"/>
      <c r="T86" s="34"/>
      <c r="U86" s="34"/>
      <c r="V86" s="34"/>
      <c r="W86" s="34"/>
      <c r="X86" s="34"/>
      <c r="Y86" s="34"/>
      <c r="Z86" s="29" t="e">
        <f>SUM(Z3:Z38)</f>
        <v>#REF!</v>
      </c>
      <c r="AA86" s="29"/>
      <c r="AB86" s="29"/>
      <c r="AC86" s="29"/>
      <c r="AD86" s="29"/>
      <c r="AE86" s="33"/>
      <c r="AF86" s="33"/>
      <c r="AG86" s="34"/>
      <c r="AH86" s="34"/>
      <c r="AI86" s="34"/>
      <c r="AJ86" s="34"/>
      <c r="AK86" s="34"/>
      <c r="AL86" s="34"/>
      <c r="AM86" s="29" t="e">
        <f>SUM(AM3:AM28)</f>
        <v>#REF!</v>
      </c>
      <c r="AN86" s="29"/>
      <c r="AO86" s="29"/>
      <c r="AP86" s="29"/>
      <c r="AQ86" s="29"/>
      <c r="AR86" s="29"/>
      <c r="AS86" s="29"/>
      <c r="AT86" s="29"/>
      <c r="AU86" s="29"/>
      <c r="AV86" s="29"/>
      <c r="AW86" s="29"/>
      <c r="AX86" s="29"/>
      <c r="AY86" s="29"/>
      <c r="AZ86" s="29" t="e">
        <f>SUM(AZ3:AZ31)</f>
        <v>#REF!</v>
      </c>
      <c r="BA86" s="29"/>
      <c r="BB86" s="29"/>
      <c r="BC86" s="29"/>
      <c r="BD86" s="29"/>
      <c r="BE86" s="29"/>
      <c r="BF86" s="29"/>
      <c r="BG86" s="29"/>
      <c r="BH86" s="29"/>
      <c r="BI86" s="29"/>
      <c r="BJ86" s="29"/>
      <c r="BK86" s="29"/>
      <c r="BL86" s="29"/>
      <c r="BM86" s="29" t="e">
        <f>SUM(BM3:BM28)</f>
        <v>#REF!</v>
      </c>
      <c r="BN86" s="29"/>
      <c r="BO86" s="29"/>
      <c r="BP86" s="29"/>
      <c r="BQ86" s="29"/>
      <c r="BR86" s="29"/>
      <c r="BS86" s="29"/>
      <c r="BT86" s="29"/>
      <c r="BU86" s="29"/>
      <c r="BV86" s="29"/>
      <c r="BW86" s="29"/>
      <c r="BX86" s="29"/>
      <c r="BY86" s="29"/>
      <c r="BZ86" s="29">
        <f>SUM(BZ3:BZ28)</f>
        <v>70</v>
      </c>
      <c r="CA86" s="29"/>
      <c r="CB86" s="29"/>
      <c r="CC86" s="29"/>
      <c r="CD86" s="33"/>
      <c r="CE86" s="33"/>
      <c r="CF86" s="33"/>
      <c r="CG86" s="33"/>
      <c r="CH86" s="33"/>
      <c r="CI86" s="33"/>
      <c r="CJ86" s="33"/>
      <c r="CK86" s="33"/>
      <c r="CL86" s="33"/>
      <c r="CM86" s="29" t="e">
        <f>SUM(CM3:CM32)</f>
        <v>#REF!</v>
      </c>
      <c r="CN86" s="29"/>
      <c r="CO86" s="33"/>
      <c r="CP86" s="33"/>
      <c r="CQ86" s="33"/>
      <c r="CR86" s="33"/>
      <c r="CS86" s="33"/>
      <c r="CT86" s="33"/>
      <c r="CU86" s="33"/>
      <c r="CV86" s="33"/>
      <c r="CW86" s="33"/>
      <c r="CX86" s="33"/>
      <c r="CY86" s="33"/>
      <c r="CZ86" s="29" t="e">
        <f>SUM(CZ3:CZ37)</f>
        <v>#REF!</v>
      </c>
      <c r="DA86" s="29"/>
      <c r="DB86" s="33"/>
      <c r="DC86" s="33"/>
      <c r="DD86" s="33"/>
      <c r="DE86" s="33"/>
      <c r="DF86" s="33"/>
      <c r="DG86" s="33"/>
      <c r="DH86" s="33"/>
      <c r="DI86" s="33"/>
      <c r="DJ86" s="33"/>
      <c r="DK86" s="33"/>
      <c r="DL86" s="33"/>
      <c r="DM86" s="29" t="e">
        <f>SUM(DM3:DM38)</f>
        <v>#REF!</v>
      </c>
      <c r="DN86" s="29"/>
      <c r="DO86" s="33"/>
      <c r="DP86" s="33"/>
      <c r="DQ86" s="33"/>
      <c r="DR86" s="33"/>
      <c r="DS86" s="33"/>
      <c r="DT86" s="33"/>
      <c r="DU86" s="33"/>
      <c r="DV86" s="33"/>
      <c r="DW86" s="33"/>
      <c r="DX86" s="33"/>
      <c r="DY86" s="33"/>
      <c r="DZ86" s="29" t="e">
        <f>SUM(DZ4:DZ38)</f>
        <v>#REF!</v>
      </c>
      <c r="EA86" s="29"/>
      <c r="EB86" s="33"/>
      <c r="EC86" s="33"/>
      <c r="ED86" s="33"/>
      <c r="EE86" s="33"/>
      <c r="EF86" s="33"/>
      <c r="EG86" s="33"/>
      <c r="EH86" s="33"/>
      <c r="EI86" s="33"/>
      <c r="EJ86" s="33"/>
      <c r="EK86" s="33"/>
      <c r="EL86" s="33"/>
      <c r="EM86" s="29" t="e">
        <f>SUM(EM4:EM18)</f>
        <v>#REF!</v>
      </c>
      <c r="EN86" s="29"/>
      <c r="EO86" s="33"/>
      <c r="EP86" s="33"/>
      <c r="EQ86" s="33"/>
      <c r="ER86" s="33"/>
      <c r="ES86" s="33"/>
      <c r="ET86" s="33"/>
      <c r="EU86" s="33"/>
      <c r="EV86" s="33"/>
      <c r="EW86" s="33"/>
      <c r="EX86" s="33"/>
      <c r="EY86" s="33"/>
      <c r="EZ86" s="29" t="e">
        <f>SUM(EZ3:EZ28)</f>
        <v>#REF!</v>
      </c>
      <c r="FA86" s="29"/>
      <c r="FC86" s="48"/>
      <c r="FD86" s="48"/>
      <c r="FE86" s="48"/>
      <c r="FF86" s="48"/>
      <c r="FG86" s="48"/>
      <c r="FH86" s="48"/>
      <c r="FI86" s="48"/>
      <c r="FJ86" s="48"/>
      <c r="FK86" s="48"/>
      <c r="FL86" s="48"/>
      <c r="FM86" s="48"/>
      <c r="FN86" s="48"/>
      <c r="FO86" s="48"/>
      <c r="FP86" s="48"/>
      <c r="FQ86" s="48"/>
      <c r="FR86" s="48"/>
      <c r="FS86" s="48"/>
      <c r="FT86" s="48"/>
      <c r="FU86" s="48"/>
      <c r="FV86" s="48"/>
      <c r="FX86" s="29" t="e">
        <f>SUM(M86,Z86,AM86)</f>
        <v>#REF!</v>
      </c>
      <c r="FY86" s="29" t="e">
        <f t="shared" si="7"/>
        <v>#REF!</v>
      </c>
      <c r="FZ86" s="29" t="e">
        <f t="shared" si="8"/>
        <v>#REF!</v>
      </c>
      <c r="GA86" s="29" t="e">
        <f t="shared" si="9"/>
        <v>#REF!</v>
      </c>
      <c r="GB86" s="26"/>
      <c r="GC86" s="41" t="e">
        <f>SUM(FX86:GA86)</f>
        <v>#REF!</v>
      </c>
    </row>
    <row r="87" spans="1:235" s="36" customFormat="1">
      <c r="A87" s="37"/>
      <c r="B87" s="37"/>
      <c r="C87" s="35"/>
      <c r="D87" s="35"/>
      <c r="G87" s="38"/>
      <c r="H87" s="38"/>
      <c r="I87" s="38"/>
      <c r="J87" s="38"/>
      <c r="K87" s="38"/>
      <c r="L87" s="38"/>
      <c r="M87" s="35"/>
      <c r="N87" s="35"/>
      <c r="O87" s="35"/>
      <c r="P87" s="35"/>
      <c r="Q87" s="35"/>
      <c r="T87" s="38"/>
      <c r="U87" s="38"/>
      <c r="V87" s="38"/>
      <c r="W87" s="38"/>
      <c r="X87" s="38"/>
      <c r="Y87" s="38"/>
      <c r="Z87" s="35"/>
      <c r="AA87" s="35"/>
      <c r="AB87" s="35"/>
      <c r="AC87" s="35"/>
      <c r="AD87" s="35"/>
      <c r="AG87" s="38"/>
      <c r="AH87" s="38"/>
      <c r="AI87" s="38"/>
      <c r="AJ87" s="38"/>
      <c r="AK87" s="38"/>
      <c r="AL87" s="38"/>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FC87" s="48"/>
      <c r="FD87" s="48"/>
      <c r="FE87" s="48"/>
      <c r="FF87" s="48"/>
      <c r="FG87" s="48"/>
      <c r="FH87" s="48"/>
      <c r="FI87" s="48"/>
      <c r="FJ87" s="48"/>
      <c r="FK87" s="48"/>
      <c r="FL87" s="48"/>
      <c r="FM87" s="48"/>
      <c r="FN87" s="48"/>
      <c r="FO87" s="48"/>
      <c r="FP87" s="48"/>
      <c r="FQ87" s="48"/>
      <c r="FR87" s="48"/>
      <c r="FS87" s="48"/>
      <c r="FT87" s="48"/>
      <c r="FU87" s="48"/>
      <c r="FV87" s="48"/>
      <c r="FX87" s="33"/>
      <c r="FY87" s="33"/>
      <c r="FZ87" s="33"/>
      <c r="GA87" s="33"/>
      <c r="GC87" s="40"/>
    </row>
    <row r="88" spans="1:235" s="36" customFormat="1">
      <c r="A88" s="39"/>
      <c r="B88" s="39"/>
      <c r="FC88" s="482"/>
      <c r="FD88" s="482"/>
      <c r="FE88" s="482"/>
      <c r="FF88" s="482"/>
      <c r="FG88" s="482"/>
      <c r="FH88" s="484"/>
      <c r="FI88" s="484"/>
      <c r="FJ88" s="484"/>
      <c r="FK88" s="484"/>
      <c r="FL88" s="484"/>
      <c r="FM88" s="482"/>
      <c r="FN88" s="482"/>
      <c r="FO88" s="482"/>
      <c r="FP88" s="482"/>
      <c r="FQ88" s="482"/>
      <c r="FR88" s="484"/>
      <c r="FS88" s="484"/>
      <c r="FT88" s="484"/>
      <c r="FU88" s="484"/>
      <c r="FV88" s="484"/>
      <c r="FX88" s="33"/>
      <c r="FY88" s="33"/>
      <c r="FZ88" s="33"/>
      <c r="GA88" s="33"/>
      <c r="GC88" s="40"/>
    </row>
    <row r="89" spans="1:235" s="36" customFormat="1">
      <c r="A89" s="39"/>
      <c r="B89" s="39"/>
      <c r="FC89" s="482"/>
      <c r="FD89" s="482"/>
      <c r="FE89" s="482"/>
      <c r="FF89" s="482"/>
      <c r="FG89" s="482"/>
      <c r="FH89" s="484"/>
      <c r="FI89" s="484"/>
      <c r="FJ89" s="484"/>
      <c r="FK89" s="484"/>
      <c r="FL89" s="484"/>
      <c r="FM89" s="482"/>
      <c r="FN89" s="482"/>
      <c r="FO89" s="482"/>
      <c r="FP89" s="482"/>
      <c r="FQ89" s="482"/>
      <c r="FR89" s="484"/>
      <c r="FS89" s="484"/>
      <c r="FT89" s="484"/>
      <c r="FU89" s="484"/>
      <c r="FV89" s="484"/>
      <c r="FX89" s="33"/>
      <c r="FY89" s="33"/>
      <c r="FZ89" s="33"/>
      <c r="GA89" s="33"/>
      <c r="GC89" s="40"/>
    </row>
    <row r="90" spans="1:235" s="36" customFormat="1">
      <c r="A90" s="39"/>
      <c r="B90" s="39"/>
      <c r="FC90" s="482"/>
      <c r="FD90" s="482"/>
      <c r="FE90" s="482"/>
      <c r="FF90" s="482"/>
      <c r="FG90" s="482"/>
      <c r="FH90" s="484"/>
      <c r="FI90" s="484"/>
      <c r="FJ90" s="484"/>
      <c r="FK90" s="484"/>
      <c r="FL90" s="484"/>
      <c r="FM90" s="482"/>
      <c r="FN90" s="482"/>
      <c r="FO90" s="482"/>
      <c r="FP90" s="482"/>
      <c r="FQ90" s="482"/>
      <c r="FR90" s="484"/>
      <c r="FS90" s="484"/>
      <c r="FT90" s="484"/>
      <c r="FU90" s="484"/>
      <c r="FV90" s="484"/>
      <c r="FX90" s="33"/>
      <c r="FY90" s="33"/>
      <c r="FZ90" s="33"/>
      <c r="GA90" s="33"/>
      <c r="GC90" s="40"/>
    </row>
    <row r="91" spans="1:235" s="36" customFormat="1">
      <c r="A91" s="39"/>
      <c r="B91" s="39"/>
      <c r="FC91" s="482"/>
      <c r="FD91" s="482"/>
      <c r="FE91" s="482"/>
      <c r="FF91" s="482"/>
      <c r="FG91" s="482"/>
      <c r="FH91" s="484"/>
      <c r="FI91" s="484"/>
      <c r="FJ91" s="484"/>
      <c r="FK91" s="484"/>
      <c r="FL91" s="484"/>
      <c r="FM91" s="482"/>
      <c r="FN91" s="482"/>
      <c r="FO91" s="482"/>
      <c r="FP91" s="482"/>
      <c r="FQ91" s="482"/>
      <c r="FR91" s="484"/>
      <c r="FS91" s="484"/>
      <c r="FT91" s="484"/>
      <c r="FU91" s="484"/>
      <c r="FV91" s="484"/>
      <c r="FX91" s="33"/>
      <c r="FY91" s="33"/>
      <c r="FZ91" s="33"/>
      <c r="GA91" s="33"/>
      <c r="GC91" s="40"/>
    </row>
    <row r="92" spans="1:235" s="36" customFormat="1">
      <c r="A92" s="39"/>
      <c r="B92" s="39"/>
      <c r="FC92" s="482"/>
      <c r="FD92" s="482"/>
      <c r="FE92" s="482"/>
      <c r="FF92" s="482"/>
      <c r="FG92" s="482"/>
      <c r="FH92" s="484"/>
      <c r="FI92" s="484"/>
      <c r="FJ92" s="484"/>
      <c r="FK92" s="484"/>
      <c r="FL92" s="484"/>
      <c r="FM92" s="482"/>
      <c r="FN92" s="482"/>
      <c r="FO92" s="482"/>
      <c r="FP92" s="482"/>
      <c r="FQ92" s="482"/>
      <c r="FR92" s="484"/>
      <c r="FS92" s="484"/>
      <c r="FT92" s="484"/>
      <c r="FU92" s="484"/>
      <c r="FV92" s="484"/>
      <c r="FX92" s="33"/>
      <c r="FY92" s="33"/>
      <c r="FZ92" s="33"/>
      <c r="GA92" s="33"/>
      <c r="GC92" s="40"/>
    </row>
    <row r="93" spans="1:235" s="36" customFormat="1">
      <c r="A93" s="39"/>
      <c r="B93" s="39"/>
      <c r="FC93" s="482"/>
      <c r="FD93" s="482"/>
      <c r="FE93" s="482"/>
      <c r="FF93" s="482"/>
      <c r="FG93" s="482"/>
      <c r="FH93" s="484"/>
      <c r="FI93" s="484"/>
      <c r="FJ93" s="484"/>
      <c r="FK93" s="484"/>
      <c r="FL93" s="484"/>
      <c r="FM93" s="482"/>
      <c r="FN93" s="482"/>
      <c r="FO93" s="482"/>
      <c r="FP93" s="482"/>
      <c r="FQ93" s="482"/>
      <c r="FR93" s="484"/>
      <c r="FS93" s="484"/>
      <c r="FT93" s="484"/>
      <c r="FU93" s="484"/>
      <c r="FV93" s="484"/>
      <c r="FX93" s="33"/>
      <c r="FY93" s="33"/>
      <c r="FZ93" s="33"/>
      <c r="GA93" s="33"/>
      <c r="GC93" s="40"/>
    </row>
    <row r="94" spans="1:235" s="36" customFormat="1" hidden="1">
      <c r="A94" s="39"/>
      <c r="B94" s="39"/>
      <c r="FC94" s="482"/>
      <c r="FD94" s="482"/>
      <c r="FE94" s="482"/>
      <c r="FF94" s="482"/>
      <c r="FG94" s="482"/>
      <c r="FH94" s="484"/>
      <c r="FI94" s="484"/>
      <c r="FJ94" s="484"/>
      <c r="FK94" s="484"/>
      <c r="FL94" s="484"/>
      <c r="FM94" s="482"/>
      <c r="FN94" s="482"/>
      <c r="FO94" s="482"/>
      <c r="FP94" s="482"/>
      <c r="FQ94" s="482"/>
      <c r="FR94" s="484"/>
      <c r="FS94" s="484"/>
      <c r="FT94" s="484"/>
      <c r="FU94" s="484"/>
      <c r="FV94" s="484"/>
      <c r="FX94" s="33"/>
      <c r="FY94" s="33"/>
      <c r="FZ94" s="33"/>
      <c r="GA94" s="33"/>
      <c r="GC94" s="40"/>
    </row>
    <row r="95" spans="1:235" ht="15" hidden="1" thickBot="1">
      <c r="A95" s="39"/>
      <c r="B95" s="39"/>
      <c r="C95" s="556" t="s">
        <v>1625</v>
      </c>
      <c r="D95" s="556"/>
      <c r="E95" s="556"/>
      <c r="F95" s="556"/>
      <c r="G95" s="556"/>
      <c r="H95" s="556"/>
      <c r="I95" s="556"/>
      <c r="J95" s="556"/>
      <c r="K95" s="556"/>
      <c r="L95" s="556"/>
      <c r="M95" s="556"/>
      <c r="N95" s="556"/>
      <c r="O95" s="556"/>
      <c r="P95" s="556"/>
      <c r="Q95" s="556"/>
      <c r="R95" s="556"/>
      <c r="S95" s="556"/>
      <c r="T95" s="556"/>
      <c r="U95" s="556"/>
      <c r="V95" s="36"/>
      <c r="W95" s="36"/>
      <c r="X95" s="571" t="s">
        <v>1625</v>
      </c>
      <c r="Y95" s="572"/>
      <c r="Z95" s="572"/>
      <c r="AA95" s="572"/>
      <c r="AB95" s="572"/>
      <c r="AC95" s="572"/>
      <c r="AD95" s="572"/>
      <c r="AE95" s="572"/>
      <c r="AF95" s="572"/>
      <c r="AG95" s="572"/>
      <c r="AH95" s="572"/>
      <c r="AI95" s="572"/>
      <c r="AJ95" s="572"/>
      <c r="AK95" s="572"/>
      <c r="AL95" s="572"/>
      <c r="AM95" s="572"/>
      <c r="AN95" s="572"/>
      <c r="AO95" s="572"/>
      <c r="AP95" s="572"/>
      <c r="AQ95" s="572"/>
      <c r="AR95" s="572"/>
      <c r="AS95" s="572"/>
      <c r="AT95" s="572"/>
      <c r="AU95" s="572"/>
      <c r="AV95" s="573"/>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c r="FA95" s="36"/>
      <c r="FC95" s="482"/>
      <c r="FD95" s="482"/>
      <c r="FE95" s="482"/>
      <c r="FF95" s="482"/>
      <c r="FG95" s="482"/>
      <c r="FH95" s="484"/>
      <c r="FI95" s="484"/>
      <c r="FJ95" s="484"/>
      <c r="FK95" s="484"/>
      <c r="FL95" s="484"/>
      <c r="FM95" s="482"/>
      <c r="FN95" s="482"/>
      <c r="FO95" s="482"/>
      <c r="FP95" s="482"/>
      <c r="FQ95" s="482"/>
      <c r="FR95" s="484"/>
      <c r="FS95" s="484"/>
      <c r="FT95" s="484"/>
      <c r="FU95" s="484"/>
      <c r="FV95" s="484"/>
      <c r="GB95" s="36"/>
    </row>
    <row r="96" spans="1:235" ht="15" hidden="1" thickBot="1">
      <c r="C96" s="557" t="s">
        <v>1626</v>
      </c>
      <c r="D96" s="560" t="s">
        <v>49</v>
      </c>
      <c r="E96" s="561"/>
      <c r="F96" s="561"/>
      <c r="G96" s="561"/>
      <c r="H96" s="561"/>
      <c r="I96" s="561"/>
      <c r="J96" s="561"/>
      <c r="K96" s="561"/>
      <c r="L96" s="562"/>
      <c r="M96" s="563" t="s">
        <v>82</v>
      </c>
      <c r="N96" s="564"/>
      <c r="O96" s="564"/>
      <c r="P96" s="564"/>
      <c r="Q96" s="564"/>
      <c r="R96" s="564"/>
      <c r="S96" s="564"/>
      <c r="T96" s="564"/>
      <c r="U96" s="565"/>
      <c r="X96" s="574" t="s">
        <v>1626</v>
      </c>
      <c r="Y96" s="575" t="s">
        <v>93</v>
      </c>
      <c r="Z96" s="576"/>
      <c r="AA96" s="576"/>
      <c r="AB96" s="576"/>
      <c r="AC96" s="576"/>
      <c r="AD96" s="576"/>
      <c r="AE96" s="576"/>
      <c r="AF96" s="576"/>
      <c r="AG96" s="576"/>
      <c r="AH96" s="576"/>
      <c r="AI96" s="576"/>
      <c r="AJ96" s="577"/>
      <c r="AK96" s="578" t="s">
        <v>106</v>
      </c>
      <c r="AL96" s="578"/>
      <c r="AM96" s="578"/>
      <c r="AN96" s="578"/>
      <c r="AO96" s="578"/>
      <c r="AP96" s="578"/>
      <c r="AQ96" s="578"/>
      <c r="AR96" s="578"/>
      <c r="AS96" s="578"/>
      <c r="AT96" s="578"/>
      <c r="AU96" s="578"/>
      <c r="AV96" s="578"/>
      <c r="FC96" s="482"/>
      <c r="FD96" s="482"/>
      <c r="FE96" s="482"/>
      <c r="FF96" s="482"/>
      <c r="FG96" s="482"/>
      <c r="FH96" s="484"/>
      <c r="FI96" s="484"/>
      <c r="FJ96" s="484"/>
      <c r="FK96" s="484"/>
      <c r="FL96" s="484"/>
      <c r="FM96" s="482"/>
      <c r="FN96" s="482"/>
      <c r="FO96" s="482"/>
      <c r="FP96" s="482"/>
      <c r="FQ96" s="482"/>
      <c r="FR96" s="484"/>
      <c r="FS96" s="484"/>
      <c r="FT96" s="484"/>
      <c r="FU96" s="484"/>
      <c r="FV96" s="484"/>
    </row>
    <row r="97" spans="3:48" ht="15" hidden="1" thickBot="1">
      <c r="C97" s="558"/>
      <c r="D97" s="560" t="s">
        <v>1434</v>
      </c>
      <c r="E97" s="561"/>
      <c r="F97" s="566"/>
      <c r="G97" s="560" t="s">
        <v>376</v>
      </c>
      <c r="H97" s="561"/>
      <c r="I97" s="566"/>
      <c r="J97" s="560" t="s">
        <v>1436</v>
      </c>
      <c r="K97" s="561"/>
      <c r="L97" s="566"/>
      <c r="M97" s="567" t="s">
        <v>1434</v>
      </c>
      <c r="N97" s="568"/>
      <c r="O97" s="569"/>
      <c r="P97" s="567" t="s">
        <v>376</v>
      </c>
      <c r="Q97" s="568"/>
      <c r="R97" s="569"/>
      <c r="S97" s="567" t="s">
        <v>1436</v>
      </c>
      <c r="T97" s="568"/>
      <c r="U97" s="570"/>
      <c r="X97" s="574"/>
      <c r="Y97" s="585" t="s">
        <v>1434</v>
      </c>
      <c r="Z97" s="585"/>
      <c r="AA97" s="585"/>
      <c r="AB97" s="585"/>
      <c r="AC97" s="585" t="s">
        <v>376</v>
      </c>
      <c r="AD97" s="585"/>
      <c r="AE97" s="585"/>
      <c r="AF97" s="585"/>
      <c r="AG97" s="585" t="s">
        <v>1436</v>
      </c>
      <c r="AH97" s="585"/>
      <c r="AI97" s="585"/>
      <c r="AJ97" s="585"/>
      <c r="AK97" s="578" t="s">
        <v>1434</v>
      </c>
      <c r="AL97" s="578"/>
      <c r="AM97" s="578"/>
      <c r="AN97" s="578"/>
      <c r="AO97" s="578" t="s">
        <v>376</v>
      </c>
      <c r="AP97" s="578"/>
      <c r="AQ97" s="578"/>
      <c r="AR97" s="578"/>
      <c r="AS97" s="578" t="s">
        <v>1436</v>
      </c>
      <c r="AT97" s="578"/>
      <c r="AU97" s="578"/>
      <c r="AV97" s="578"/>
    </row>
    <row r="98" spans="3:48" ht="29.5" hidden="1" thickBot="1">
      <c r="C98" s="559"/>
      <c r="D98" s="59" t="s">
        <v>52</v>
      </c>
      <c r="E98" s="59" t="s">
        <v>53</v>
      </c>
      <c r="F98" s="59" t="s">
        <v>54</v>
      </c>
      <c r="G98" s="59" t="s">
        <v>52</v>
      </c>
      <c r="H98" s="59" t="s">
        <v>53</v>
      </c>
      <c r="I98" s="59" t="s">
        <v>54</v>
      </c>
      <c r="J98" s="59" t="s">
        <v>52</v>
      </c>
      <c r="K98" s="59" t="s">
        <v>53</v>
      </c>
      <c r="L98" s="59" t="s">
        <v>54</v>
      </c>
      <c r="M98" s="60" t="s">
        <v>52</v>
      </c>
      <c r="N98" s="60" t="s">
        <v>53</v>
      </c>
      <c r="O98" s="60" t="s">
        <v>54</v>
      </c>
      <c r="P98" s="60" t="s">
        <v>52</v>
      </c>
      <c r="Q98" s="60" t="s">
        <v>53</v>
      </c>
      <c r="R98" s="60" t="s">
        <v>54</v>
      </c>
      <c r="S98" s="60" t="s">
        <v>52</v>
      </c>
      <c r="T98" s="60" t="s">
        <v>53</v>
      </c>
      <c r="U98" s="60" t="s">
        <v>54</v>
      </c>
      <c r="X98" s="574"/>
      <c r="Y98" s="61" t="s">
        <v>52</v>
      </c>
      <c r="Z98" s="61" t="s">
        <v>53</v>
      </c>
      <c r="AA98" s="61" t="s">
        <v>54</v>
      </c>
      <c r="AB98" s="61" t="s">
        <v>766</v>
      </c>
      <c r="AC98" s="61" t="s">
        <v>52</v>
      </c>
      <c r="AD98" s="61" t="s">
        <v>53</v>
      </c>
      <c r="AE98" s="61" t="s">
        <v>54</v>
      </c>
      <c r="AF98" s="61" t="s">
        <v>766</v>
      </c>
      <c r="AG98" s="61" t="s">
        <v>52</v>
      </c>
      <c r="AH98" s="61" t="s">
        <v>53</v>
      </c>
      <c r="AI98" s="61" t="s">
        <v>54</v>
      </c>
      <c r="AJ98" s="61" t="s">
        <v>766</v>
      </c>
      <c r="AK98" s="62" t="s">
        <v>52</v>
      </c>
      <c r="AL98" s="62" t="s">
        <v>53</v>
      </c>
      <c r="AM98" s="62" t="s">
        <v>54</v>
      </c>
      <c r="AN98" s="62" t="s">
        <v>766</v>
      </c>
      <c r="AO98" s="62" t="s">
        <v>52</v>
      </c>
      <c r="AP98" s="62" t="s">
        <v>53</v>
      </c>
      <c r="AQ98" s="62" t="s">
        <v>54</v>
      </c>
      <c r="AR98" s="62" t="s">
        <v>766</v>
      </c>
      <c r="AS98" s="62" t="s">
        <v>52</v>
      </c>
      <c r="AT98" s="62" t="s">
        <v>53</v>
      </c>
      <c r="AU98" s="62" t="s">
        <v>54</v>
      </c>
      <c r="AV98" s="62" t="s">
        <v>766</v>
      </c>
    </row>
    <row r="99" spans="3:48" ht="15" hidden="1" thickBot="1">
      <c r="C99" s="63" t="s">
        <v>366</v>
      </c>
      <c r="D99" s="59" t="e">
        <f>SUMIFS('Status of Curriculum Completion'!$M$4:$M$38,'Status of Curriculum Completion'!$C$4:$C$38,"CEE",'Status of Curriculum Completion'!$G$4:$G$38,"Complete")+SUMIFS('Status of Curriculum Completion'!$Z$4:$Z$38,'Status of Curriculum Completion'!$P$4:$P$38,"CEE",'Status of Curriculum Completion'!$T$4:$T$38,"Complete")+SUMIFS('Status of Curriculum Completion'!$AM$4:$AM$38,'Status of Curriculum Completion'!$AC$4:$AC$38,"CEE",'Status of Curriculum Completion'!$AG$4:$AG$38,"Complete")</f>
        <v>#REF!</v>
      </c>
      <c r="E99" s="59">
        <f>SUMIFS('Status of Curriculum Completion'!$M$4:$M$38,'Status of Curriculum Completion'!$C$4:$C$38,"CEE",'Status of Curriculum Completion'!$G$4:$G$38,"In progress")+SUMIFS('Status of Curriculum Completion'!$Z$4:$Z$38,'Status of Curriculum Completion'!$P$4:$P$38,"CEE",'Status of Curriculum Completion'!$T$4:$T$38,"In progress")+SUMIFS('Status of Curriculum Completion'!$AM$4:$AM$38,'Status of Curriculum Completion'!$AC$4:$AC$38,"CEE",'Status of Curriculum Completion'!$AG$4:$AG$38,"In progress")</f>
        <v>0</v>
      </c>
      <c r="F99"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G99" s="59" t="e">
        <f>SUMIFS('Status of Curriculum Completion'!$M$4:$M$38,'Status of Curriculum Completion'!$C$4:$C$38,"CEE",'Status of Curriculum Completion'!$H$4:$H$38,"Complete")+SUMIFS('Status of Curriculum Completion'!$Z$4:$Z$38,'Status of Curriculum Completion'!$P$4:$P$38,"CEE",'Status of Curriculum Completion'!$U$4:$U$38,"Complete")+SUMIFS('Status of Curriculum Completion'!$AM$4:$AM$38,'Status of Curriculum Completion'!$AC$4:$AC$38,"CEE",'Status of Curriculum Completion'!$AH$4:$AH$38,"Complete")</f>
        <v>#REF!</v>
      </c>
      <c r="H99" s="59">
        <f>SUMIFS('Status of Curriculum Completion'!$M$4:$M$38,'Status of Curriculum Completion'!$C$4:$C$38,"CEE",'Status of Curriculum Completion'!$H$4:$H$38,"In Progress")+SUMIFS('Status of Curriculum Completion'!$Z$4:$Z$38,'Status of Curriculum Completion'!$P$4:$P$38,"CEE",'Status of Curriculum Completion'!$U$4:$U$38,"In Progress")+SUMIFS('Status of Curriculum Completion'!$AM$4:$AM$38,'Status of Curriculum Completion'!$AC$4:$AC$38,"CEE",'Status of Curriculum Completion'!$AH$4:$AH$38,"In Progress")</f>
        <v>0</v>
      </c>
      <c r="I99" s="59">
        <f>SUMIFS('Status of Curriculum Completion'!$M$4:$M$38,'Status of Curriculum Completion'!$C$4:$C$38,"CEE",'Status of Curriculum Completion'!$H$4:$H$38,"Planned")+SUMIFS('Status of Curriculum Completion'!$Z$4:$Z$38,'Status of Curriculum Completion'!$P$4:$P$38,"CEE",'Status of Curriculum Completion'!$U$4:$U$38,"Planned")+SUMIFS('Status of Curriculum Completion'!$AM$4:$AM$38,'Status of Curriculum Completion'!$AC$4:$AC$38,"CEE",'Status of Curriculum Completion'!$AH$4:$AH$38,"Planned")</f>
        <v>0</v>
      </c>
      <c r="J99" s="59" t="e">
        <f>SUMIFS('Status of Curriculum Completion'!$M$4:$M$38,'Status of Curriculum Completion'!$C$4:$C$38,"CEE",'Status of Curriculum Completion'!$I$4:$I$38,"Complete")+SUMIFS('Status of Curriculum Completion'!$Z$4:$Z$38,'Status of Curriculum Completion'!$P$4:$P$38,"CEE",'Status of Curriculum Completion'!$V$4:$V$38,"Complete")+SUMIFS('Status of Curriculum Completion'!$AM$4:$AM$38,'Status of Curriculum Completion'!$AC$4:$AC$38,"CEE",'Status of Curriculum Completion'!$AI$4:$AI$38,"Complete")</f>
        <v>#REF!</v>
      </c>
      <c r="K99" s="59">
        <f>SUMIFS('Status of Curriculum Completion'!$M$4:$M$38,'Status of Curriculum Completion'!$C$4:$C$38,"CEE",'Status of Curriculum Completion'!$I$4:$I$38,"In Progress")+SUMIFS('Status of Curriculum Completion'!$Z$4:$Z$38,'Status of Curriculum Completion'!$P$4:$P$38,"CEE",'Status of Curriculum Completion'!$V$4:$V$38,"In Progress")+SUMIFS('Status of Curriculum Completion'!$AM$4:$AM$38,'Status of Curriculum Completion'!$AC$4:$AC$38,"CEE",'Status of Curriculum Completion'!$AI$4:$AI$38,"In Progress")</f>
        <v>0</v>
      </c>
      <c r="L99" s="59">
        <f>SUMIFS('Status of Curriculum Completion'!$M$4:$M$38,'Status of Curriculum Completion'!$C$4:$C$38,"CEE",'Status of Curriculum Completion'!$I$4:$I$38,"Planned")+SUMIFS('Status of Curriculum Completion'!$Z$4:$Z$38,'Status of Curriculum Completion'!$P$4:$P$38,"CEE",'Status of Curriculum Completion'!$V$4:$V$38,"Planned")+SUMIFS('Status of Curriculum Completion'!$AM$4:$AM$38,'Status of Curriculum Completion'!$AC$4:$AC$38,"CEE",'Status of Curriculum Completion'!$AI$4:$AI$38,"Planned")</f>
        <v>0</v>
      </c>
      <c r="M99" s="60">
        <f>SUMIFS('Status of Curriculum Completion'!$AZ$4:$AZ$38,'Status of Curriculum Completion'!$AP$4:$AP$38,"CEE",'Status of Curriculum Completion'!$AT$4:$AT$38,"Complete")+SUMIFS('Status of Curriculum Completion'!$BM$4:$BM$38,'Status of Curriculum Completion'!$BC$4:$BC$38,"CEE",'Status of Curriculum Completion'!$BG$4:$BG$38,"Complete")+SUMIFS('Status of Curriculum Completion'!$BZ$4:$BZ$38,'Status of Curriculum Completion'!$BP$4:$BP$38,"CEE",'Status of Curriculum Completion'!$BT$4:$BT$38,"Complete")</f>
        <v>0</v>
      </c>
      <c r="N99" s="60">
        <f>SUMIFS('Status of Curriculum Completion'!$AZ$4:$AZ$38,'Status of Curriculum Completion'!$AP$4:$AP$38,"CEE",'Status of Curriculum Completion'!$AT$4:$AT$38,"In Progress")+SUMIFS('Status of Curriculum Completion'!$BM$4:$BM$38,'Status of Curriculum Completion'!$BC$4:$BC$38,"CEE",'Status of Curriculum Completion'!$BG$4:$BG$38,"In Progress")+SUMIFS('Status of Curriculum Completion'!$BZ$4:$BZ$38,'Status of Curriculum Completion'!$BP$4:$BP$38,"CEE",'Status of Curriculum Completion'!$BT$4:$BT$38,"In Progress")</f>
        <v>0</v>
      </c>
      <c r="O99" s="60">
        <f>SUMIFS('Status of Curriculum Completion'!$AZ$4:$AZ$38,'Status of Curriculum Completion'!$AP$4:$AP$38,"CEE",'Status of Curriculum Completion'!$AT$4:$AT$38,"Planned")+SUMIFS('Status of Curriculum Completion'!$BM$4:$BM$38,'Status of Curriculum Completion'!$BC$4:$BC$38,"CEE",'Status of Curriculum Completion'!$BG$4:$BG$38,"Planned")+SUMIFS('Status of Curriculum Completion'!$BZ$4:$BZ$38,'Status of Curriculum Completion'!$BP$4:$BP$38,"CEE",'Status of Curriculum Completion'!$BT$4:$BT$38,"Planned")</f>
        <v>0</v>
      </c>
      <c r="P99" s="60">
        <f>SUMIFS('Status of Curriculum Completion'!$AZ$4:$AZ$38,'Status of Curriculum Completion'!$AP$4:$AP$38,"CEE",'Status of Curriculum Completion'!$AU$4:$AU$38,"Complete")+SUMIFS('Status of Curriculum Completion'!$BM$4:$BM$38,'Status of Curriculum Completion'!$BC$4:$BC$38,"CEE",'Status of Curriculum Completion'!$BH$4:$BH$38,"Complete")+SUMIFS('Status of Curriculum Completion'!$BZ$4:$BZ$38,'Status of Curriculum Completion'!$BP$4:$BP$38,"CEE",'Status of Curriculum Completion'!$BU$4:$BU$38,"Complete")</f>
        <v>0</v>
      </c>
      <c r="Q99" s="60">
        <f>SUMIFS('Status of Curriculum Completion'!$AZ$4:$AZ$38,'Status of Curriculum Completion'!$AP$4:$AP$38,"CEE",'Status of Curriculum Completion'!$AU$4:$AU$38,"In Progress")+SUMIFS('Status of Curriculum Completion'!$BM$4:$BM$38,'Status of Curriculum Completion'!$BC$4:$BC$38,"CEE",'Status of Curriculum Completion'!$BH$4:$BH$38,"In Progress")+SUMIFS('Status of Curriculum Completion'!$BZ$4:$BZ$38,'Status of Curriculum Completion'!$BP$4:$BP$38,"CEE",'Status of Curriculum Completion'!$BU$4:$BU$38,"In Progress")</f>
        <v>0</v>
      </c>
      <c r="R99" s="60">
        <f>SUMIFS('Status of Curriculum Completion'!$AZ$4:$AZ$38,'Status of Curriculum Completion'!$AP$4:$AP$38,"CEE",'Status of Curriculum Completion'!$AU$4:$AU$38,"Planned")+SUMIFS('Status of Curriculum Completion'!$BM$4:$BM$38,'Status of Curriculum Completion'!$BC$4:$BC$38,"CEE",'Status of Curriculum Completion'!$BH$4:$BH$38,"Planned")+SUMIFS('Status of Curriculum Completion'!$BZ$4:$BZ$38,'Status of Curriculum Completion'!$BP$4:$BP$38,"CEE",'Status of Curriculum Completion'!$BU$4:$BU$38,"Planned")</f>
        <v>0</v>
      </c>
      <c r="S99" s="60">
        <f>SUMIFS('Status of Curriculum Completion'!$AZ$4:$AZ$38,'Status of Curriculum Completion'!$AP$4:$AP$38,"CEE",'Status of Curriculum Completion'!$AV$4:$AV$38,"Complete")+SUMIFS('Status of Curriculum Completion'!$BM$4:$BM$38,'Status of Curriculum Completion'!$BC$4:$BC$38,"CEE",'Status of Curriculum Completion'!$BI$4:$BI$38,"Complete")+SUMIFS('Status of Curriculum Completion'!$BZ$4:$BZ$38,'Status of Curriculum Completion'!$BP$4:$BP$38,"CEE",'Status of Curriculum Completion'!$BV$4:$BV$38,"Complete")</f>
        <v>0</v>
      </c>
      <c r="T99" s="60">
        <f>SUMIFS('Status of Curriculum Completion'!$AZ$4:$AZ$38,'Status of Curriculum Completion'!$AP$4:$AP$38,"CEE",'Status of Curriculum Completion'!$AV$4:$AV$38,"In Progress")+SUMIFS('Status of Curriculum Completion'!$BM$4:$BM$38,'Status of Curriculum Completion'!$BC$4:$BC$38,"CEE",'Status of Curriculum Completion'!$BI$4:$BI$38,"In Progress")+SUMIFS('Status of Curriculum Completion'!$BZ$4:$BZ$38,'Status of Curriculum Completion'!$BP$4:$BP$38,"CEE",'Status of Curriculum Completion'!$BV$4:$BV$38,"In Progress")</f>
        <v>0</v>
      </c>
      <c r="U99" s="60">
        <f>SUMIFS('Status of Curriculum Completion'!$AZ$4:$AZ$38,'Status of Curriculum Completion'!$AP$4:$AP$38,"CEE",'Status of Curriculum Completion'!$AV$4:$AV$38,"Planned")+SUMIFS('Status of Curriculum Completion'!$BM$4:$BM$38,'Status of Curriculum Completion'!$BC$4:$BC$38,"CEE",'Status of Curriculum Completion'!$BI$4:$BI$38,"Planned")+SUMIFS('Status of Curriculum Completion'!$BZ$4:$BZ$38,'Status of Curriculum Completion'!$BP$4:$BP$38,"CEE",'Status of Curriculum Completion'!$BV$4:$BV$38,"Planned")</f>
        <v>0</v>
      </c>
      <c r="X99" s="63" t="s">
        <v>366</v>
      </c>
      <c r="Y99" s="61">
        <f>SUMIFS('Status of Curriculum Completion'!$CM$4:$CM$38,'Status of Curriculum Completion'!$CC$4:$CC$38,"CEE",'Status of Curriculum Completion'!$CG$4:$CG$38,"Complete")+SUMIFS('Status of Curriculum Completion'!$CZ$4:$CZ$38,'Status of Curriculum Completion'!$CP$4:$CP$38,"CEE",'Status of Curriculum Completion'!$CT$4:$CT$38,"Complete")+SUMIFS('Status of Curriculum Completion'!$DM$4:$DM$38,'Status of Curriculum Completion'!$DC$4:$DC$38,"CEE",'Status of Curriculum Completion'!$DG$4:$DG$38,"Complete")</f>
        <v>0</v>
      </c>
      <c r="Z99" s="61">
        <f>SUMIFS('Status of Curriculum Completion'!$CM$4:$CM$38,'Status of Curriculum Completion'!$CC$4:$CC$38,"CEE",'Status of Curriculum Completion'!$CG$4:$CG$38,"In Progress")+SUMIFS('Status of Curriculum Completion'!$CZ$4:$CZ$38,'Status of Curriculum Completion'!$CP$4:$CP$38,"CEE",'Status of Curriculum Completion'!$CT$4:$CT$38,"In Progress")+SUMIFS('Status of Curriculum Completion'!$DM$4:$DM$38,'Status of Curriculum Completion'!$DC$4:$DC$38,"CEE",'Status of Curriculum Completion'!$DG$4:$DG$38,"In Progress")</f>
        <v>0</v>
      </c>
      <c r="AA99" s="61">
        <f>SUMIFS('Status of Curriculum Completion'!$CM$4:$CM$38,'Status of Curriculum Completion'!$CC$4:$CC$38,"CEE",'Status of Curriculum Completion'!$CG$4:$CG$38,"Planned")+SUMIFS('Status of Curriculum Completion'!$CZ$4:$CZ$38,'Status of Curriculum Completion'!$CP$4:$CP$38,"CEE",'Status of Curriculum Completion'!$CT$4:$CT$38,"Planned")+SUMIFS('Status of Curriculum Completion'!$DM$4:$DM$38,'Status of Curriculum Completion'!$DC$4:$DC$38,"CEE",'Status of Curriculum Completion'!$DG$4:$DG$38,"Planned")</f>
        <v>0</v>
      </c>
      <c r="AB99" s="61">
        <f>SUMIFS('Status of Curriculum Completion'!$CM$4:$CM$38,'Status of Curriculum Completion'!$CC$4:$CC$38,"CEE",'Status of Curriculum Completion'!$CG$4:$CG$38,"Tentative")+SUMIFS('Status of Curriculum Completion'!$CZ$4:$CZ$38,'Status of Curriculum Completion'!$CP$4:$CP$38,"CEE",'Status of Curriculum Completion'!$CT$4:$CT$38,"Tentative")+SUMIFS('Status of Curriculum Completion'!$DM$4:$DM$38,'Status of Curriculum Completion'!$DC$4:$DC$38,"CEE",'Status of Curriculum Completion'!$DG$4:$DG$38,"Tentative")</f>
        <v>0</v>
      </c>
      <c r="AC99" s="61">
        <f>SUMIFS('Status of Curriculum Completion'!$CM$4:$CM$38,'Status of Curriculum Completion'!$CC$4:$CC$38,"CEE",'Status of Curriculum Completion'!$CH$4:$CH$38,"Complete")+SUMIFS('Status of Curriculum Completion'!$CZ$4:$CZ$38,'Status of Curriculum Completion'!$CP$4:$CP$38,"CEE",'Status of Curriculum Completion'!$CU$4:$CU$38,"Complete")+SUMIFS('Status of Curriculum Completion'!$DM$4:$DM$38,'Status of Curriculum Completion'!$DC$4:$DC$38,"CEE",'Status of Curriculum Completion'!$DH$4:$DH$38,"Complete")</f>
        <v>0</v>
      </c>
      <c r="AD99" s="61">
        <f>SUMIFS('Status of Curriculum Completion'!$CM$4:$CM$38,'Status of Curriculum Completion'!$CC$4:$CC$38,"CEE",'Status of Curriculum Completion'!$CH$4:$CH$38,"In Progress")+SUMIFS('Status of Curriculum Completion'!$CZ$4:$CZ$38,'Status of Curriculum Completion'!$CP$4:$CP$38,"CEE",'Status of Curriculum Completion'!$CU$4:$CU$38,"In Progress")+SUMIFS('Status of Curriculum Completion'!$DM$4:$DM$38,'Status of Curriculum Completion'!$DC$4:$DC$38,"CEE",'Status of Curriculum Completion'!$DH$4:$DH$38,"In Progress")</f>
        <v>0</v>
      </c>
      <c r="AE99" s="61">
        <f>SUMIFS('Status of Curriculum Completion'!$CM$4:$CM$38,'Status of Curriculum Completion'!$CC$4:$CC$38,"CEE",'Status of Curriculum Completion'!$CH$4:$CH$38,"Planned")+SUMIFS('Status of Curriculum Completion'!$CZ$4:$CZ$38,'Status of Curriculum Completion'!$CP$4:$CP$38,"CEE",'Status of Curriculum Completion'!$CU$4:$CU$38,"Planned")+SUMIFS('Status of Curriculum Completion'!$DM$4:$DM$38,'Status of Curriculum Completion'!$DC$4:$DC$38,"CEE",'Status of Curriculum Completion'!$DH$4:$DH$38,"Planned")</f>
        <v>0</v>
      </c>
      <c r="AF99" s="61">
        <f>SUMIFS('Status of Curriculum Completion'!$CM$4:$CM$38,'Status of Curriculum Completion'!$CC$4:$CC$38,"CEE",'Status of Curriculum Completion'!$CH$4:$CH$38,"Tentative")+SUMIFS('Status of Curriculum Completion'!$CZ$4:$CZ$38,'Status of Curriculum Completion'!$CP$4:$CP$38,"CEE",'Status of Curriculum Completion'!$CU$4:$CU$38,"Tentative")+SUMIFS('Status of Curriculum Completion'!$DM$4:$DM$38,'Status of Curriculum Completion'!$DC$4:$DC$38,"CEE",'Status of Curriculum Completion'!$DH$4:$DH$38,"Tentative")</f>
        <v>0</v>
      </c>
      <c r="AG99" s="61">
        <f>SUMIFS('Status of Curriculum Completion'!$CM$4:$CM$38,'Status of Curriculum Completion'!$CC$4:$CC$38,"CEE",'Status of Curriculum Completion'!$CI$4:$CI$38,"Complete")+SUMIFS('Status of Curriculum Completion'!$CZ$4:$CZ$38,'Status of Curriculum Completion'!$CP$4:$CP$38,"CEE",'Status of Curriculum Completion'!$CV$4:$CV$38,"Complete")+SUMIFS('Status of Curriculum Completion'!$DM$4:$DM$38,'Status of Curriculum Completion'!$DC$4:$DC$38,"CEE",'Status of Curriculum Completion'!$DI$4:$DI$38,"Complete")</f>
        <v>0</v>
      </c>
      <c r="AH99" s="61">
        <f>SUMIFS('Status of Curriculum Completion'!$CM$4:$CM$38,'Status of Curriculum Completion'!$CC$4:$CC$38,"CEE",'Status of Curriculum Completion'!$CI$4:$CI$38,"In Progress")+SUMIFS('Status of Curriculum Completion'!$CZ$4:$CZ$38,'Status of Curriculum Completion'!$CP$4:$CP$38,"CEE",'Status of Curriculum Completion'!$CV$4:$CV$38,"In Progress")+SUMIFS('Status of Curriculum Completion'!$DM$4:$DM$38,'Status of Curriculum Completion'!$DC$4:$DC$38,"CEE",'Status of Curriculum Completion'!$DI$4:$DI$38,"In Progress")</f>
        <v>0</v>
      </c>
      <c r="AI99" s="61">
        <f>SUMIFS('Status of Curriculum Completion'!$CM$4:$CM$38,'Status of Curriculum Completion'!$CC$4:$CC$38,"CEE",'Status of Curriculum Completion'!$CI$4:$CI$38,"Planned")+SUMIFS('Status of Curriculum Completion'!$CZ$4:$CZ$38,'Status of Curriculum Completion'!$CP$4:$CP$38,"CEE",'Status of Curriculum Completion'!$CV$4:$CV$38,"Planned")+SUMIFS('Status of Curriculum Completion'!$DM$4:$DM$38,'Status of Curriculum Completion'!$DC$4:$DC$38,"CEE",'Status of Curriculum Completion'!$DI$4:$DI$38,"Planned")</f>
        <v>0</v>
      </c>
      <c r="AJ99" s="61">
        <f>SUMIFS('Status of Curriculum Completion'!$CM$4:$CM$38,'Status of Curriculum Completion'!$CC$4:$CC$38,"CEE",'Status of Curriculum Completion'!$CI$4:$CI$38,"Tentative")+SUMIFS('Status of Curriculum Completion'!$CZ$4:$CZ$38,'Status of Curriculum Completion'!$CP$4:$CP$38,"CEE",'Status of Curriculum Completion'!$CV$4:$CV$38,"Tentative")+SUMIFS('Status of Curriculum Completion'!$DM$4:$DM$38,'Status of Curriculum Completion'!$DC$4:$DC$38,"CEE",'Status of Curriculum Completion'!$DI$4:$DI$38,"Tentative")</f>
        <v>0</v>
      </c>
      <c r="AK99" s="62">
        <f>SUMIFS('Status of Curriculum Completion'!$DZ$4:$DZ$38,'Status of Curriculum Completion'!$DP$4:$DP$38,"CEE",'Status of Curriculum Completion'!$DT$4:$DT$38,"Complete")+SUMIFS('Status of Curriculum Completion'!$EM$4:$EM$38,'Status of Curriculum Completion'!$EC$4:$EC$38,"CEE",'Status of Curriculum Completion'!$EG$4:$EG$38,"Complete")+SUMIFS('Status of Curriculum Completion'!$EZ$4:$EZ$38,'Status of Curriculum Completion'!$EP$4:$EP$38,"CEE",'Status of Curriculum Completion'!$ET$4:$ET$38,"Complete")</f>
        <v>0</v>
      </c>
      <c r="AL99" s="62">
        <f>SUMIFS('Status of Curriculum Completion'!$DZ$4:$DZ$38,'Status of Curriculum Completion'!$DP$4:$DP$38,"CEE",'Status of Curriculum Completion'!$DT$4:$DT$38,"In Progress")+SUMIFS('Status of Curriculum Completion'!$EM$4:$EM$38,'Status of Curriculum Completion'!$EC$4:$EC$38,"CEE",'Status of Curriculum Completion'!$EG$4:$EG$38,"In Progress")+SUMIFS('Status of Curriculum Completion'!$EZ$4:$EZ$38,'Status of Curriculum Completion'!$EP$4:$EP$38,"CEE",'Status of Curriculum Completion'!$ET$4:$ET$38,"In Progress")</f>
        <v>0</v>
      </c>
      <c r="AM99" s="62">
        <f>SUMIFS('Status of Curriculum Completion'!$DZ$4:$DZ$38,'Status of Curriculum Completion'!$DP$4:$DP$38,"CEE",'Status of Curriculum Completion'!$DT$4:$DT$38,"Planned")+SUMIFS('Status of Curriculum Completion'!$EM$4:$EM$38,'Status of Curriculum Completion'!$EC$4:$EC$38,"CEE",'Status of Curriculum Completion'!$EG$4:$EG$38,"Planned")+SUMIFS('Status of Curriculum Completion'!$EZ$4:$EZ$38,'Status of Curriculum Completion'!$EP$4:$EP$38,"CEE",'Status of Curriculum Completion'!$ET$4:$ET$38,"Planned")</f>
        <v>0</v>
      </c>
      <c r="AN99" s="62">
        <f>SUMIFS('Status of Curriculum Completion'!$DZ$4:$DZ$38,'Status of Curriculum Completion'!$DP$4:$DP$38,"CEE",'Status of Curriculum Completion'!$DT$4:$DT$38,"Tentative")+SUMIFS('Status of Curriculum Completion'!$EM$4:$EM$38,'Status of Curriculum Completion'!$EC$4:$EC$38,"CEE",'Status of Curriculum Completion'!$EG$4:$EG$38,"Tentative")+SUMIFS('Status of Curriculum Completion'!$EZ$4:$EZ$38,'Status of Curriculum Completion'!$EP$4:$EP$38,"CEE",'Status of Curriculum Completion'!$ET$4:$ET$38,"Tentative")</f>
        <v>0</v>
      </c>
      <c r="AO99" s="62">
        <f>SUMIFS('Status of Curriculum Completion'!$DZ$4:$DZ$38,'Status of Curriculum Completion'!$DP$4:$DP$38,"CEE",'Status of Curriculum Completion'!$DU$4:$DU$38,"Complete")+SUMIFS('Status of Curriculum Completion'!$EM$4:$EM$38,'Status of Curriculum Completion'!$EC$4:$EC$38,"CEE",'Status of Curriculum Completion'!$EH$4:$EH$38,"Complete")+SUMIFS('Status of Curriculum Completion'!$EZ$4:$EZ$38,'Status of Curriculum Completion'!$EP$4:$EP$38,"CEE",'Status of Curriculum Completion'!$EU$4:$EU$38,"Complete")</f>
        <v>0</v>
      </c>
      <c r="AP99" s="62">
        <f>SUMIFS('Status of Curriculum Completion'!$DZ$4:$DZ$38,'Status of Curriculum Completion'!$DP$4:$DP$38,"CEE",'Status of Curriculum Completion'!$DU$4:$DU$38,"In Progress")+SUMIFS('Status of Curriculum Completion'!$EM$4:$EM$38,'Status of Curriculum Completion'!$EC$4:$EC$38,"CEE",'Status of Curriculum Completion'!$EH$4:$EH$38,"In Progress")+SUMIFS('Status of Curriculum Completion'!$EZ$4:$EZ$38,'Status of Curriculum Completion'!$EP$4:$EP$38,"CEE",'Status of Curriculum Completion'!$EU$4:$EU$38,"In Progress")</f>
        <v>0</v>
      </c>
      <c r="AQ99" s="62">
        <f>SUMIFS('Status of Curriculum Completion'!$DZ$4:$DZ$38,'Status of Curriculum Completion'!$DP$4:$DP$38,"CEE",'Status of Curriculum Completion'!$DU$4:$DU$38,"Planned")+SUMIFS('Status of Curriculum Completion'!$EM$4:$EM$38,'Status of Curriculum Completion'!$EC$4:$EC$38,"CEE",'Status of Curriculum Completion'!$EH$4:$EH$38,"Planned")+SUMIFS('Status of Curriculum Completion'!$EZ$4:$EZ$38,'Status of Curriculum Completion'!$EP$4:$EP$38,"CEE",'Status of Curriculum Completion'!$EU$4:$EU$38,"Planned")</f>
        <v>0</v>
      </c>
      <c r="AR99" s="62">
        <f>SUMIFS('Status of Curriculum Completion'!$DZ$4:$DZ$38,'Status of Curriculum Completion'!$DP$4:$DP$38,"CEE",'Status of Curriculum Completion'!$DU$4:$DU$38,"Tentative")+SUMIFS('Status of Curriculum Completion'!$EM$4:$EM$38,'Status of Curriculum Completion'!$EC$4:$EC$38,"CEE",'Status of Curriculum Completion'!$EH$4:$EH$38,"Tentative")+SUMIFS('Status of Curriculum Completion'!$EZ$4:$EZ$38,'Status of Curriculum Completion'!$EP$4:$EP$38,"CEE",'Status of Curriculum Completion'!$EU$4:$EU$38,"Tentative")</f>
        <v>0</v>
      </c>
      <c r="AS99" s="62">
        <f>SUMIFS('Status of Curriculum Completion'!$DZ$4:$DZ$38,'Status of Curriculum Completion'!$DP$4:$DP$38,"CEE",'Status of Curriculum Completion'!$DV$4:$DV$38,"Complete")+SUMIFS('Status of Curriculum Completion'!$EM$4:$EM$38,'Status of Curriculum Completion'!$EC$4:$EC$38,"CEE",'Status of Curriculum Completion'!$EI$4:$EI$38,"Complete")+SUMIFS('Status of Curriculum Completion'!$EZ$4:$EZ$38,'Status of Curriculum Completion'!$EP$4:$EP$38,"CEE",'Status of Curriculum Completion'!$EV$4:$EV$38,"Complete")</f>
        <v>0</v>
      </c>
      <c r="AT99" s="62">
        <f>SUMIFS('Status of Curriculum Completion'!$DZ$4:$DZ$38,'Status of Curriculum Completion'!$DP$4:$DP$38,"CEE",'Status of Curriculum Completion'!$DV$4:$DV$38,"In Progress")+SUMIFS('Status of Curriculum Completion'!$EM$4:$EM$38,'Status of Curriculum Completion'!$EC$4:$EC$38,"CEE",'Status of Curriculum Completion'!$EI$4:$EI$38,"In Progress")+SUMIFS('Status of Curriculum Completion'!$EZ$4:$EZ$38,'Status of Curriculum Completion'!$EP$4:$EP$38,"CEE",'Status of Curriculum Completion'!$EV$4:$EV$38,"In Progress")</f>
        <v>0</v>
      </c>
      <c r="AU99" s="62">
        <f>SUMIFS('Status of Curriculum Completion'!$DZ$4:$DZ$38,'Status of Curriculum Completion'!$DP$4:$DP$38,"CEE",'Status of Curriculum Completion'!$DV$4:$DV$38,"Planned")+SUMIFS('Status of Curriculum Completion'!$EM$4:$EM$38,'Status of Curriculum Completion'!$EC$4:$EC$38,"CEE",'Status of Curriculum Completion'!$EI$4:$EI$38,"Planned")+SUMIFS('Status of Curriculum Completion'!$EZ$4:$EZ$38,'Status of Curriculum Completion'!$EP$4:$EP$38,"CEE",'Status of Curriculum Completion'!$EV$4:$EV$38,"Planned")</f>
        <v>0</v>
      </c>
      <c r="AV99" s="62">
        <f>SUMIFS('Status of Curriculum Completion'!$DZ$4:$DZ$38,'Status of Curriculum Completion'!$DP$4:$DP$38,"CEE",'Status of Curriculum Completion'!$DV$4:$DV$38,"Tentative")+SUMIFS('Status of Curriculum Completion'!$EM$4:$EM$38,'Status of Curriculum Completion'!$EC$4:$EC$38,"CEE",'Status of Curriculum Completion'!$EI$4:$EI$38,"Tentative")+SUMIFS('Status of Curriculum Completion'!$EZ$4:$EZ$38,'Status of Curriculum Completion'!$EP$4:$EP$38,"CEE",'Status of Curriculum Completion'!$EV$4:$EV$38,"Tentative")</f>
        <v>0</v>
      </c>
    </row>
    <row r="100" spans="3:48" ht="29.5" hidden="1" thickBot="1">
      <c r="C100" s="63" t="s">
        <v>1627</v>
      </c>
      <c r="D100" s="59">
        <f>SUMIFS('Status of Curriculum Completion'!$M$4:$M$38,'Status of Curriculum Completion'!$C$4:$C$38,"CIC China",'Status of Curriculum Completion'!$G$4:$G$38,"Complete")+SUMIFS('Status of Curriculum Completion'!$Z$4:$Z$38,'Status of Curriculum Completion'!$P$4:$P$38,"CIC China",'Status of Curriculum Completion'!$T$4:$T$38,"Complete")+SUMIFS('Status of Curriculum Completion'!$AM$4:$AM$38,'Status of Curriculum Completion'!$AC$4:$AC$38,"CIC China",'Status of Curriculum Completion'!$AG$4:$AG$38,"Complete")</f>
        <v>0</v>
      </c>
      <c r="E100" s="59">
        <f>SUMIFS('Status of Curriculum Completion'!$M$4:$M$38,'Status of Curriculum Completion'!$C$4:$C$38,"CIC China",'Status of Curriculum Completion'!$G$4:$G$38,"In progress")+SUMIFS('Status of Curriculum Completion'!$Z$4:$Z$38,'Status of Curriculum Completion'!$P$4:$P$38,"CIC China",'Status of Curriculum Completion'!$T$4:$T$38,"In progress")+SUMIFS('Status of Curriculum Completion'!$AM$4:$AM$38,'Status of Curriculum Completion'!$AC$4:$AC$38,"CIC China",'Status of Curriculum Completion'!$AG$4:$AG$38,"In progress")</f>
        <v>0</v>
      </c>
      <c r="F100" s="59">
        <f>SUMIFS('Status of Curriculum Completion'!$M$4:$M$38,'Status of Curriculum Completion'!$C$4:$C$38,"CIC China",'Status of Curriculum Completion'!$G$4:$G$38,"Planned")+SUMIFS('Status of Curriculum Completion'!$Z$4:$Z$38,'Status of Curriculum Completion'!$P$4:$P$38,"CIC China",'Status of Curriculum Completion'!$T$4:$T$38,"Planned")+SUMIFS('Status of Curriculum Completion'!$AM$4:$AM$38,'Status of Curriculum Completion'!$AC$4:$AC$38,"CIC China",'Status of Curriculum Completion'!$AG$4:$AG$38,"Planned")</f>
        <v>0</v>
      </c>
      <c r="G100" s="59">
        <f>SUMIFS('Status of Curriculum Completion'!$M$4:$M$38,'Status of Curriculum Completion'!$C$4:$C$38,"CIC China",'Status of Curriculum Completion'!$H$4:$H$38,"Complete")+SUMIFS('Status of Curriculum Completion'!$Z$4:$Z$38,'Status of Curriculum Completion'!$P$4:$P$38,"CIC China",'Status of Curriculum Completion'!$U$4:$U$38,"Complete")+SUMIFS('Status of Curriculum Completion'!$AM$4:$AM$38,'Status of Curriculum Completion'!$AC$4:$AC$38,"CIC China",'Status of Curriculum Completion'!$AH$4:$AH$38,"Complete")</f>
        <v>0</v>
      </c>
      <c r="H100" s="59">
        <f>SUMIFS('Status of Curriculum Completion'!$M$4:$M$38,'Status of Curriculum Completion'!$C$4:$C$38,"CIC China",'Status of Curriculum Completion'!$H$4:$H$38,"In Progress")+SUMIFS('Status of Curriculum Completion'!$Z$4:$Z$38,'Status of Curriculum Completion'!$P$4:$P$38,"CIC China",'Status of Curriculum Completion'!$U$4:$U$38,"In Progress")+SUMIFS('Status of Curriculum Completion'!$AM$4:$AM$38,'Status of Curriculum Completion'!$AC$4:$AC$38,"CIC China",'Status of Curriculum Completion'!$AH$4:$AH$38,"In Progress")</f>
        <v>0</v>
      </c>
      <c r="I100" s="59">
        <f>SUMIFS('Status of Curriculum Completion'!$M$4:$M$38,'Status of Curriculum Completion'!$C$4:$C$38,"CIC China",'Status of Curriculum Completion'!$H$4:$H$38,"Planned")+SUMIFS('Status of Curriculum Completion'!$Z$4:$Z$38,'Status of Curriculum Completion'!$P$4:$P$38,"CIC China",'Status of Curriculum Completion'!$U$4:$U$38,"Planned")+SUMIFS('Status of Curriculum Completion'!$AM$4:$AM$38,'Status of Curriculum Completion'!$AC$4:$AC$38,"CIC China",'Status of Curriculum Completion'!$AH$4:$AH$38,"Planned")</f>
        <v>0</v>
      </c>
      <c r="J100" s="59">
        <f>SUMIFS('Status of Curriculum Completion'!$M$4:$M$38,'Status of Curriculum Completion'!$C$4:$C$38,"CIC China",'Status of Curriculum Completion'!$I$4:$I$38,"Complete")+SUMIFS('Status of Curriculum Completion'!$Z$4:$Z$38,'Status of Curriculum Completion'!$P$4:$P$38,"CIC China",'Status of Curriculum Completion'!$V$4:$V$38,"Complete")+SUMIFS('Status of Curriculum Completion'!$AM$4:$AM$38,'Status of Curriculum Completion'!$AC$4:$AC$38,"CIC China",'Status of Curriculum Completion'!$AI$4:$AI$38,"Complete")</f>
        <v>0</v>
      </c>
      <c r="K100" s="59">
        <f>SUMIFS('Status of Curriculum Completion'!$M$4:$M$38,'Status of Curriculum Completion'!$C$4:$C$38,"CIC China",'Status of Curriculum Completion'!$I$4:$I$38,"In Progress")+SUMIFS('Status of Curriculum Completion'!$Z$4:$Z$38,'Status of Curriculum Completion'!$P$4:$P$38,"CIC China",'Status of Curriculum Completion'!$V$4:$V$38,"In Progress")+SUMIFS('Status of Curriculum Completion'!$AM$4:$AM$38,'Status of Curriculum Completion'!$AC$4:$AC$38,"CIC China",'Status of Curriculum Completion'!$AI$4:$AI$38,"In Progress")</f>
        <v>0</v>
      </c>
      <c r="L100" s="59">
        <f>SUMIFS('Status of Curriculum Completion'!$M$4:$M$38,'Status of Curriculum Completion'!$C$4:$C$38,"CIC China",'Status of Curriculum Completion'!$I$4:$I$38,"Planned")+SUMIFS('Status of Curriculum Completion'!$Z$4:$Z$38,'Status of Curriculum Completion'!$P$4:$P$38,"CIC China",'Status of Curriculum Completion'!$V$4:$V$38,"Planned")+SUMIFS('Status of Curriculum Completion'!$AM$4:$AM$38,'Status of Curriculum Completion'!$AC$4:$AC$38,"CIC China",'Status of Curriculum Completion'!$AI$4:$AI$38,"Planned")</f>
        <v>0</v>
      </c>
      <c r="M100" s="60">
        <f>SUMIFS('Status of Curriculum Completion'!$AZ$4:$AZ$38,'Status of Curriculum Completion'!$AP$4:$AP$38,"CIC China",'Status of Curriculum Completion'!$AT$4:$AT$38,"Complete")+SUMIFS('Status of Curriculum Completion'!$BM$4:$BM$38,'Status of Curriculum Completion'!$BC$4:$BC$38,"CIC China",'Status of Curriculum Completion'!$BG$4:$BG$38,"Complete")+SUMIFS('Status of Curriculum Completion'!$BZ$4:$BZ$38,'Status of Curriculum Completion'!$BP$4:$BP$38,"CIC China",'Status of Curriculum Completion'!$BT$4:$BT$38,"Complete")</f>
        <v>41</v>
      </c>
      <c r="N100" s="60">
        <f>SUMIFS('Status of Curriculum Completion'!$AZ$4:$AZ$38,'Status of Curriculum Completion'!$AP$4:$AP$38,"CIC China",'Status of Curriculum Completion'!$AT$4:$AT$38,"In Progress")+SUMIFS('Status of Curriculum Completion'!$BM$4:$BM$38,'Status of Curriculum Completion'!$BC$4:$BC$38,"CIC China",'Status of Curriculum Completion'!$BG$4:$BG$38,"In Progress")+SUMIFS('Status of Curriculum Completion'!$BZ$4:$BZ$38,'Status of Curriculum Completion'!$BP$4:$BP$38,"CIC China",'Status of Curriculum Completion'!$BT$4:$BT$38,"In Progress")</f>
        <v>0</v>
      </c>
      <c r="O100" s="60">
        <f>SUMIFS('Status of Curriculum Completion'!$AZ$4:$AZ$38,'Status of Curriculum Completion'!$AP$4:$AP$38,"CIC China",'Status of Curriculum Completion'!$AT$4:$AT$38,"Planned")+SUMIFS('Status of Curriculum Completion'!$BM$4:$BM$38,'Status of Curriculum Completion'!$BC$4:$BC$38,"CIC China",'Status of Curriculum Completion'!$BG$4:$BG$38,"Planned")+SUMIFS('Status of Curriculum Completion'!$BZ$4:$BZ$38,'Status of Curriculum Completion'!$BP$4:$BP$38,"CIC China",'Status of Curriculum Completion'!$BT$4:$BT$38,"Planned")</f>
        <v>0</v>
      </c>
      <c r="P100" s="60">
        <f>SUMIFS('Status of Curriculum Completion'!$AZ$4:$AZ$38,'Status of Curriculum Completion'!$AP$4:$AP$38,"CIC China",'Status of Curriculum Completion'!$AU$4:$AU$38,"Complete")+SUMIFS('Status of Curriculum Completion'!$BM$4:$BM$38,'Status of Curriculum Completion'!$BC$4:$BC$38,"CIC China",'Status of Curriculum Completion'!$BH$4:$BH$38,"Complete")+SUMIFS('Status of Curriculum Completion'!$BZ$4:$BZ$38,'Status of Curriculum Completion'!$BP$4:$BP$38,"CIC China",'Status of Curriculum Completion'!$BU$4:$BU$38,"Complete")</f>
        <v>41</v>
      </c>
      <c r="Q100" s="60">
        <f>SUMIFS('Status of Curriculum Completion'!$AZ$4:$AZ$38,'Status of Curriculum Completion'!$AP$4:$AP$38,"CIC China",'Status of Curriculum Completion'!$AU$4:$AU$38,"In Progress")+SUMIFS('Status of Curriculum Completion'!$BM$4:$BM$38,'Status of Curriculum Completion'!$BC$4:$BC$38,"CIC China",'Status of Curriculum Completion'!$BH$4:$BH$38,"In Progress")+SUMIFS('Status of Curriculum Completion'!$BZ$4:$BZ$38,'Status of Curriculum Completion'!$BP$4:$BP$38,"CIC China",'Status of Curriculum Completion'!$BU$4:$BU$38,"In Progress")</f>
        <v>0</v>
      </c>
      <c r="R100" s="60">
        <f>SUMIFS('Status of Curriculum Completion'!$AZ$4:$AZ$38,'Status of Curriculum Completion'!$AP$4:$AP$38,"CIC China",'Status of Curriculum Completion'!$AU$4:$AU$38,"Planned")+SUMIFS('Status of Curriculum Completion'!$BM$4:$BM$38,'Status of Curriculum Completion'!$BC$4:$BC$38,"CIC China",'Status of Curriculum Completion'!$BH$4:$BH$38,"Planned")+SUMIFS('Status of Curriculum Completion'!$BZ$4:$BZ$38,'Status of Curriculum Completion'!$BP$4:$BP$38,"CIC China",'Status of Curriculum Completion'!$BU$4:$BU$38,"Planned")</f>
        <v>0</v>
      </c>
      <c r="S100" s="60">
        <f>SUMIFS('Status of Curriculum Completion'!$AZ$4:$AZ$38,'Status of Curriculum Completion'!$AP$4:$AP$38,"CIC China",'Status of Curriculum Completion'!$AV$4:$AV$38,"Complete")+SUMIFS('Status of Curriculum Completion'!$BM$4:$BM$38,'Status of Curriculum Completion'!$BC$4:$BC$38,"CIC China",'Status of Curriculum Completion'!$BI$4:$BI$38,"Complete")+SUMIFS('Status of Curriculum Completion'!$BZ$4:$BZ$38,'Status of Curriculum Completion'!$BP$4:$BP$38,"CIC China",'Status of Curriculum Completion'!$BV$4:$BV$38,"Complete")</f>
        <v>41</v>
      </c>
      <c r="T100" s="60">
        <f>SUMIFS('Status of Curriculum Completion'!$AZ$4:$AZ$38,'Status of Curriculum Completion'!$AP$4:$AP$38,"CIC China",'Status of Curriculum Completion'!$AV$4:$AV$38,"In Progress")+SUMIFS('Status of Curriculum Completion'!$BM$4:$BM$38,'Status of Curriculum Completion'!$BC$4:$BC$38,"CIC China",'Status of Curriculum Completion'!$BI$4:$BI$38,"In Progress")+SUMIFS('Status of Curriculum Completion'!$BZ$4:$BZ$38,'Status of Curriculum Completion'!$BP$4:$BP$38,"CIC China",'Status of Curriculum Completion'!$BV$4:$BV$38,"In Progress")</f>
        <v>0</v>
      </c>
      <c r="U100" s="60">
        <f>SUMIFS('Status of Curriculum Completion'!$AZ$4:$AZ$38,'Status of Curriculum Completion'!$AP$4:$AP$38,"CIC China",'Status of Curriculum Completion'!$AV$4:$AV$38,"Planned")+SUMIFS('Status of Curriculum Completion'!$BM$4:$BM$38,'Status of Curriculum Completion'!$BC$4:$BC$38,"CIC China",'Status of Curriculum Completion'!$BI$4:$BI$38,"Planned")+SUMIFS('Status of Curriculum Completion'!$BZ$4:$BZ$38,'Status of Curriculum Completion'!$BP$4:$BP$38,"CIC China",'Status of Curriculum Completion'!$BV$4:$BV$38,"Planned")</f>
        <v>0</v>
      </c>
      <c r="X100" s="63" t="s">
        <v>1627</v>
      </c>
      <c r="Y100" s="61">
        <f>SUMIFS('Status of Curriculum Completion'!$CM$4:$CM$38,'Status of Curriculum Completion'!$CC$4:$CC$38,"CIC China",'Status of Curriculum Completion'!$CG$4:$CG$38,"Complete")+SUMIFS('Status of Curriculum Completion'!$CZ$4:$CZ$38,'Status of Curriculum Completion'!$CP$4:$CP$38,"CIC China",'Status of Curriculum Completion'!$CT$4:$CT$38,"Complete")+SUMIFS('Status of Curriculum Completion'!$DM$4:$DM$38,'Status of Curriculum Completion'!$DC$4:$DC$38,"CIC China",'Status of Curriculum Completion'!$DG$4:$DG$38,"Complete")</f>
        <v>16</v>
      </c>
      <c r="Z100" s="61">
        <f>SUMIFS('Status of Curriculum Completion'!$CM$4:$CM$38,'Status of Curriculum Completion'!$CC$4:$CC$38,"CIC China",'Status of Curriculum Completion'!$CG$4:$CG$38,"In Progress")+SUMIFS('Status of Curriculum Completion'!$CZ$4:$CZ$38,'Status of Curriculum Completion'!$CP$4:$CP$38,"CIC China",'Status of Curriculum Completion'!$CT$4:$CT$38,"In Progress")+SUMIFS('Status of Curriculum Completion'!$DM$4:$DM$38,'Status of Curriculum Completion'!$DC$4:$DC$38,"CIC China",'Status of Curriculum Completion'!$DG$4:$DG$38,"In Progress")</f>
        <v>0</v>
      </c>
      <c r="AA100" s="61">
        <f>SUMIFS('Status of Curriculum Completion'!$CM$4:$CM$38,'Status of Curriculum Completion'!$CC$4:$CC$38,"CIC China",'Status of Curriculum Completion'!$CG$4:$CG$38,"Planned")+SUMIFS('Status of Curriculum Completion'!$CZ$4:$CZ$38,'Status of Curriculum Completion'!$CP$4:$CP$38,"CIC China",'Status of Curriculum Completion'!$CT$4:$CT$38,"Planned")+SUMIFS('Status of Curriculum Completion'!$DM$4:$DM$38,'Status of Curriculum Completion'!$DC$4:$DC$38,"CIC China",'Status of Curriculum Completion'!$DG$4:$DG$38,"Planned")</f>
        <v>0</v>
      </c>
      <c r="AB100" s="61">
        <f>SUMIFS('Status of Curriculum Completion'!$CM$4:$CM$38,'Status of Curriculum Completion'!$CC$4:$CC$38,"CIC China",'Status of Curriculum Completion'!$CG$4:$CG$38,"Tentative")+SUMIFS('Status of Curriculum Completion'!$CZ$4:$CZ$38,'Status of Curriculum Completion'!$CP$4:$CP$38,"CIC China",'Status of Curriculum Completion'!$CT$4:$CT$38,"Tentative")+SUMIFS('Status of Curriculum Completion'!$DM$4:$DM$38,'Status of Curriculum Completion'!$DC$4:$DC$38,"CIC China",'Status of Curriculum Completion'!$DG$4:$DG$38,"Tentative")</f>
        <v>0</v>
      </c>
      <c r="AC100" s="61">
        <f>SUMIFS('Status of Curriculum Completion'!$CM$4:$CM$38,'Status of Curriculum Completion'!$CC$4:$CC$38,"CIC China",'Status of Curriculum Completion'!$CH$4:$CH$38,"Complete")+SUMIFS('Status of Curriculum Completion'!$CZ$4:$CZ$38,'Status of Curriculum Completion'!$CP$4:$CP$38,"CIC China",'Status of Curriculum Completion'!$CU$4:$CU$38,"Complete")+SUMIFS('Status of Curriculum Completion'!$DM$4:$DM$38,'Status of Curriculum Completion'!$DC$4:$DC$38,"CIC China",'Status of Curriculum Completion'!$DH$4:$DH$38,"Complete")</f>
        <v>16</v>
      </c>
      <c r="AD100" s="61">
        <f>SUMIFS('Status of Curriculum Completion'!$CM$4:$CM$38,'Status of Curriculum Completion'!$CC$4:$CC$38,"CIC China",'Status of Curriculum Completion'!$CH$4:$CH$38,"In Progress")+SUMIFS('Status of Curriculum Completion'!$CZ$4:$CZ$38,'Status of Curriculum Completion'!$CP$4:$CP$38,"CIC China",'Status of Curriculum Completion'!$CU$4:$CU$38,"In Progress")+SUMIFS('Status of Curriculum Completion'!$DM$4:$DM$38,'Status of Curriculum Completion'!$DC$4:$DC$38,"CIC China",'Status of Curriculum Completion'!$DH$4:$DH$38,"In Progress")</f>
        <v>0</v>
      </c>
      <c r="AE100" s="61">
        <f>SUMIFS('Status of Curriculum Completion'!$CM$4:$CM$38,'Status of Curriculum Completion'!$CC$4:$CC$38,"CIC China",'Status of Curriculum Completion'!$CH$4:$CH$38,"Planned")+SUMIFS('Status of Curriculum Completion'!$CZ$4:$CZ$38,'Status of Curriculum Completion'!$CP$4:$CP$38,"CIC China",'Status of Curriculum Completion'!$CU$4:$CU$38,"Planned")+SUMIFS('Status of Curriculum Completion'!$DM$4:$DM$38,'Status of Curriculum Completion'!$DC$4:$DC$38,"CIC China",'Status of Curriculum Completion'!$DH$4:$DH$38,"Planned")</f>
        <v>0</v>
      </c>
      <c r="AF100" s="61">
        <f>SUMIFS('Status of Curriculum Completion'!$CM$4:$CM$38,'Status of Curriculum Completion'!$CC$4:$CC$38,"CIC China",'Status of Curriculum Completion'!$CH$4:$CH$38,"Tentative")+SUMIFS('Status of Curriculum Completion'!$CZ$4:$CZ$38,'Status of Curriculum Completion'!$CP$4:$CP$38,"CIC China",'Status of Curriculum Completion'!$CU$4:$CU$38,"Tentative")+SUMIFS('Status of Curriculum Completion'!$DM$4:$DM$38,'Status of Curriculum Completion'!$DC$4:$DC$38,"CIC China",'Status of Curriculum Completion'!$DH$4:$DH$38,"Tentative")</f>
        <v>0</v>
      </c>
      <c r="AG100" s="61">
        <f>SUMIFS('Status of Curriculum Completion'!$CM$4:$CM$38,'Status of Curriculum Completion'!$CC$4:$CC$38,"CIC China",'Status of Curriculum Completion'!$CI$4:$CI$38,"Complete")+SUMIFS('Status of Curriculum Completion'!$CZ$4:$CZ$38,'Status of Curriculum Completion'!$CP$4:$CP$38,"CIC China",'Status of Curriculum Completion'!$CV$4:$CV$38,"Complete")+SUMIFS('Status of Curriculum Completion'!$DM$4:$DM$38,'Status of Curriculum Completion'!$DC$4:$DC$38,"CIC China",'Status of Curriculum Completion'!$DI$4:$DI$38,"Complete")</f>
        <v>16</v>
      </c>
      <c r="AH100" s="61">
        <f>SUMIFS('Status of Curriculum Completion'!$CM$4:$CM$38,'Status of Curriculum Completion'!$CC$4:$CC$38,"CIC China",'Status of Curriculum Completion'!$CI$4:$CI$38,"In Progress")+SUMIFS('Status of Curriculum Completion'!$CZ$4:$CZ$38,'Status of Curriculum Completion'!$CP$4:$CP$38,"CIC China",'Status of Curriculum Completion'!$CV$4:$CV$38,"In Progress")+SUMIFS('Status of Curriculum Completion'!$DM$4:$DM$38,'Status of Curriculum Completion'!$DC$4:$DC$38,"CIC China",'Status of Curriculum Completion'!$DI$4:$DI$38,"In Progress")</f>
        <v>0</v>
      </c>
      <c r="AI100" s="61">
        <f>SUMIFS('Status of Curriculum Completion'!$CM$4:$CM$38,'Status of Curriculum Completion'!$CC$4:$CC$38,"CIC China",'Status of Curriculum Completion'!$CI$4:$CI$38,"Planned")+SUMIFS('Status of Curriculum Completion'!$CZ$4:$CZ$38,'Status of Curriculum Completion'!$CP$4:$CP$38,"CIC China",'Status of Curriculum Completion'!$CV$4:$CV$38,"Planned")+SUMIFS('Status of Curriculum Completion'!$DM$4:$DM$38,'Status of Curriculum Completion'!$DC$4:$DC$38,"CIC China",'Status of Curriculum Completion'!$DI$4:$DI$38,"Planned")</f>
        <v>0</v>
      </c>
      <c r="AJ100" s="61">
        <f>SUMIFS('Status of Curriculum Completion'!$CM$4:$CM$38,'Status of Curriculum Completion'!$CC$4:$CC$38,"CIC China",'Status of Curriculum Completion'!$CI$4:$CI$38,"Tentative")+SUMIFS('Status of Curriculum Completion'!$CZ$4:$CZ$38,'Status of Curriculum Completion'!$CP$4:$CP$38,"CIC China",'Status of Curriculum Completion'!$CV$4:$CV$38,"Tentative")+SUMIFS('Status of Curriculum Completion'!$DM$4:$DM$38,'Status of Curriculum Completion'!$DC$4:$DC$38,"CIC China",'Status of Curriculum Completion'!$DI$4:$DI$38,"Tentative")</f>
        <v>0</v>
      </c>
      <c r="AK100" s="62">
        <f>SUMIFS('Status of Curriculum Completion'!$DZ$4:$DZ$38,'Status of Curriculum Completion'!$DP$4:$DP$38,"CIC China",'Status of Curriculum Completion'!$DT$4:$DT$38,"Complete")+SUMIFS('Status of Curriculum Completion'!$EM$4:$EM$38,'Status of Curriculum Completion'!$EC$4:$EC$38,"CIC China",'Status of Curriculum Completion'!$EG$4:$EG$38,"Complete")+SUMIFS('Status of Curriculum Completion'!$EZ$4:$EZ$38,'Status of Curriculum Completion'!$EP$4:$EP$38,"CIC China",'Status of Curriculum Completion'!$ET$4:$ET$38,"Complete")</f>
        <v>150</v>
      </c>
      <c r="AL100" s="62">
        <f>SUMIFS('Status of Curriculum Completion'!$DZ$4:$DZ$38,'Status of Curriculum Completion'!$DP$4:$DP$38,"CIC China",'Status of Curriculum Completion'!$DT$4:$DT$38,"In Progress")+SUMIFS('Status of Curriculum Completion'!$EM$4:$EM$38,'Status of Curriculum Completion'!$EC$4:$EC$38,"CIC China",'Status of Curriculum Completion'!$EG$4:$EG$38,"In Progress")+SUMIFS('Status of Curriculum Completion'!$EZ$4:$EZ$38,'Status of Curriculum Completion'!$EP$4:$EP$38,"CIC China",'Status of Curriculum Completion'!$ET$4:$ET$38,"In Progress")</f>
        <v>0</v>
      </c>
      <c r="AM100" s="62">
        <f>SUMIFS('Status of Curriculum Completion'!$DZ$4:$DZ$38,'Status of Curriculum Completion'!$DP$4:$DP$38,"CIC China",'Status of Curriculum Completion'!$DT$4:$DT$38,"Planned")+SUMIFS('Status of Curriculum Completion'!$EM$4:$EM$38,'Status of Curriculum Completion'!$EC$4:$EC$38,"CIC China",'Status of Curriculum Completion'!$EG$4:$EG$38,"Planned")+SUMIFS('Status of Curriculum Completion'!$EZ$4:$EZ$38,'Status of Curriculum Completion'!$EP$4:$EP$38,"CIC China",'Status of Curriculum Completion'!$ET$4:$ET$38,"Planned")</f>
        <v>0</v>
      </c>
      <c r="AN100" s="62">
        <f>SUMIFS('Status of Curriculum Completion'!$DZ$4:$DZ$38,'Status of Curriculum Completion'!$DP$4:$DP$38,"CIC China",'Status of Curriculum Completion'!$DT$4:$DT$38,"Tentative")+SUMIFS('Status of Curriculum Completion'!$EM$4:$EM$38,'Status of Curriculum Completion'!$EC$4:$EC$38,"CIC China",'Status of Curriculum Completion'!$EG$4:$EG$38,"Tentative")+SUMIFS('Status of Curriculum Completion'!$EZ$4:$EZ$38,'Status of Curriculum Completion'!$EP$4:$EP$38,"CIC China",'Status of Curriculum Completion'!$ET$4:$ET$38,"Tentative")</f>
        <v>0</v>
      </c>
      <c r="AO100" s="62">
        <f>SUMIFS('Status of Curriculum Completion'!$DZ$4:$DZ$38,'Status of Curriculum Completion'!$DP$4:$DP$38,"CIC China",'Status of Curriculum Completion'!$DU$4:$DU$38,"Complete")+SUMIFS('Status of Curriculum Completion'!$EM$4:$EM$38,'Status of Curriculum Completion'!$EC$4:$EC$38,"CIC China",'Status of Curriculum Completion'!$EH$4:$EH$38,"Complete")+SUMIFS('Status of Curriculum Completion'!$EZ$4:$EZ$38,'Status of Curriculum Completion'!$EP$4:$EP$38,"CIC China",'Status of Curriculum Completion'!$EU$4:$EU$38,"Complete")</f>
        <v>150</v>
      </c>
      <c r="AP100" s="62">
        <f>SUMIFS('Status of Curriculum Completion'!$DZ$4:$DZ$38,'Status of Curriculum Completion'!$DP$4:$DP$38,"CIC China",'Status of Curriculum Completion'!$DU$4:$DU$38,"In Progress")+SUMIFS('Status of Curriculum Completion'!$EM$4:$EM$38,'Status of Curriculum Completion'!$EC$4:$EC$38,"CIC China",'Status of Curriculum Completion'!$EH$4:$EH$38,"In Progress")+SUMIFS('Status of Curriculum Completion'!$EZ$4:$EZ$38,'Status of Curriculum Completion'!$EP$4:$EP$38,"CIC China",'Status of Curriculum Completion'!$EU$4:$EU$38,"In Progress")</f>
        <v>0</v>
      </c>
      <c r="AQ100" s="62">
        <f>SUMIFS('Status of Curriculum Completion'!$DZ$4:$DZ$38,'Status of Curriculum Completion'!$DP$4:$DP$38,"CIC China",'Status of Curriculum Completion'!$DU$4:$DU$38,"Planned")+SUMIFS('Status of Curriculum Completion'!$EM$4:$EM$38,'Status of Curriculum Completion'!$EC$4:$EC$38,"CIC China",'Status of Curriculum Completion'!$EH$4:$EH$38,"Planned")+SUMIFS('Status of Curriculum Completion'!$EZ$4:$EZ$38,'Status of Curriculum Completion'!$EP$4:$EP$38,"CIC China",'Status of Curriculum Completion'!$EU$4:$EU$38,"Planned")</f>
        <v>0</v>
      </c>
      <c r="AR100" s="62">
        <f>SUMIFS('Status of Curriculum Completion'!$DZ$4:$DZ$38,'Status of Curriculum Completion'!$DP$4:$DP$38,"CIC China",'Status of Curriculum Completion'!$DU$4:$DU$38,"Tentative")+SUMIFS('Status of Curriculum Completion'!$EM$4:$EM$38,'Status of Curriculum Completion'!$EC$4:$EC$38,"CIC China",'Status of Curriculum Completion'!$EH$4:$EH$38,"Tentative")+SUMIFS('Status of Curriculum Completion'!$EZ$4:$EZ$38,'Status of Curriculum Completion'!$EP$4:$EP$38,"CIC China",'Status of Curriculum Completion'!$EU$4:$EU$38,"Tentative")</f>
        <v>0</v>
      </c>
      <c r="AS100" s="62">
        <f>SUMIFS('Status of Curriculum Completion'!$DZ$4:$DZ$38,'Status of Curriculum Completion'!$DP$4:$DP$38,"CIC China",'Status of Curriculum Completion'!$DV$4:$DV$38,"Complete")+SUMIFS('Status of Curriculum Completion'!$EM$4:$EM$38,'Status of Curriculum Completion'!$EC$4:$EC$38,"CIC China",'Status of Curriculum Completion'!$EI$4:$EI$38,"Complete")+SUMIFS('Status of Curriculum Completion'!$EZ$4:$EZ$38,'Status of Curriculum Completion'!$EP$4:$EP$38,"CIC China",'Status of Curriculum Completion'!$EV$4:$EV$38,"Complete")</f>
        <v>0</v>
      </c>
      <c r="AT100" s="62">
        <f>SUMIFS('Status of Curriculum Completion'!$DZ$4:$DZ$38,'Status of Curriculum Completion'!$DP$4:$DP$38,"CIC China",'Status of Curriculum Completion'!$DV$4:$DV$38,"In Progress")+SUMIFS('Status of Curriculum Completion'!$EM$4:$EM$38,'Status of Curriculum Completion'!$EC$4:$EC$38,"CIC China",'Status of Curriculum Completion'!$EI$4:$EI$38,"In Progress")+SUMIFS('Status of Curriculum Completion'!$EZ$4:$EZ$38,'Status of Curriculum Completion'!$EP$4:$EP$38,"CIC China",'Status of Curriculum Completion'!$EV$4:$EV$38,"In Progress")</f>
        <v>0</v>
      </c>
      <c r="AU100" s="62">
        <f>SUMIFS('Status of Curriculum Completion'!$DZ$4:$DZ$38,'Status of Curriculum Completion'!$DP$4:$DP$38,"CIC China",'Status of Curriculum Completion'!$DV$4:$DV$38,"Planned")+SUMIFS('Status of Curriculum Completion'!$EM$4:$EM$38,'Status of Curriculum Completion'!$EC$4:$EC$38,"CIC China",'Status of Curriculum Completion'!$EI$4:$EI$38,"Planned")+SUMIFS('Status of Curriculum Completion'!$EZ$4:$EZ$38,'Status of Curriculum Completion'!$EP$4:$EP$38,"CIC China",'Status of Curriculum Completion'!$EV$4:$EV$38,"Planned")</f>
        <v>150</v>
      </c>
      <c r="AV100" s="62">
        <f>SUMIFS('Status of Curriculum Completion'!$DZ$4:$DZ$38,'Status of Curriculum Completion'!$DP$4:$DP$38,"CIC China",'Status of Curriculum Completion'!$DV$4:$DV$38,"Tentative")+SUMIFS('Status of Curriculum Completion'!$EM$4:$EM$38,'Status of Curriculum Completion'!$EC$4:$EC$38,"CIC China",'Status of Curriculum Completion'!$EI$4:$EI$38,"Tentative")+SUMIFS('Status of Curriculum Completion'!$EZ$4:$EZ$38,'Status of Curriculum Completion'!$EP$4:$EP$38,"CIC China",'Status of Curriculum Completion'!$EV$4:$EV$38,"Tentative")</f>
        <v>0</v>
      </c>
    </row>
    <row r="101" spans="3:48" ht="29.5" hidden="1" thickBot="1">
      <c r="C101" s="63" t="s">
        <v>1628</v>
      </c>
      <c r="D101" s="59">
        <f>SUMIFS('Status of Curriculum Completion'!$M$4:$M$38,'Status of Curriculum Completion'!$C$4:$C$38,"India",'Status of Curriculum Completion'!$G$4:$G$38,"Complete")+SUMIFS('Status of Curriculum Completion'!$Z$4:$Z$38,'Status of Curriculum Completion'!$P$4:$P$38,"India",'Status of Curriculum Completion'!$T$4:$T$38,"Complete")+SUMIFS('Status of Curriculum Completion'!$AM$4:$AM$38,'Status of Curriculum Completion'!$AC$4:$AC$38,"India",'Status of Curriculum Completion'!$AG$4:$AG$38,"Complete")</f>
        <v>623</v>
      </c>
      <c r="E101" s="59">
        <f>SUMIFS('Status of Curriculum Completion'!$M$4:$M$38,'Status of Curriculum Completion'!$C$4:$C$38,"India",'Status of Curriculum Completion'!$G$4:$G$38,"In progress")+SUMIFS('Status of Curriculum Completion'!$Z$4:$Z$38,'Status of Curriculum Completion'!$P$4:$P$38,"India",'Status of Curriculum Completion'!$T$4:$T$38,"In progress")+SUMIFS('Status of Curriculum Completion'!$AM$4:$AM$38,'Status of Curriculum Completion'!$AC$4:$AC$38,"India",'Status of Curriculum Completion'!$AG$4:$AG$38,"In progress")</f>
        <v>0</v>
      </c>
      <c r="F101" s="59">
        <f>SUMIFS('Status of Curriculum Completion'!$M$4:$M$38,'Status of Curriculum Completion'!$C$4:$C$38,"India",'Status of Curriculum Completion'!$G$4:$G$38,"Planned")+SUMIFS('Status of Curriculum Completion'!$Z$4:$Z$38,'Status of Curriculum Completion'!$P$4:$P$38,"India",'Status of Curriculum Completion'!$T$4:$T$38,"Planned")+SUMIFS('Status of Curriculum Completion'!$AM$4:$AM$38,'Status of Curriculum Completion'!$AC$4:$AC$38,"India",'Status of Curriculum Completion'!$AG$4:$AG$38,"Planned")</f>
        <v>0</v>
      </c>
      <c r="G101" s="59">
        <f>SUMIFS('Status of Curriculum Completion'!$M$4:$M$38,'Status of Curriculum Completion'!$C$4:$C$38,"India",'Status of Curriculum Completion'!$H$4:$H$38,"Complete")+SUMIFS('Status of Curriculum Completion'!$Z$4:$Z$38,'Status of Curriculum Completion'!$P$4:$P$38,"India",'Status of Curriculum Completion'!$U$4:$U$38,"Complete")+SUMIFS('Status of Curriculum Completion'!$AM$4:$AM$38,'Status of Curriculum Completion'!$AC$4:$AC$38,"India",'Status of Curriculum Completion'!$AH$4:$AH$38,"Complete")</f>
        <v>623</v>
      </c>
      <c r="H101" s="59">
        <f>SUMIFS('Status of Curriculum Completion'!$M$4:$M$38,'Status of Curriculum Completion'!$C$4:$C$38,"India",'Status of Curriculum Completion'!$H$4:$H$38,"In Progress")+SUMIFS('Status of Curriculum Completion'!$Z$4:$Z$38,'Status of Curriculum Completion'!$P$4:$P$38,"India",'Status of Curriculum Completion'!$U$4:$U$38,"In Progress")+SUMIFS('Status of Curriculum Completion'!$AM$4:$AM$38,'Status of Curriculum Completion'!$AC$4:$AC$38,"India",'Status of Curriculum Completion'!$AH$4:$AH$38,"In Progress")</f>
        <v>0</v>
      </c>
      <c r="I101" s="59">
        <f>SUMIFS('Status of Curriculum Completion'!$M$4:$M$38,'Status of Curriculum Completion'!$C$4:$C$38,"India",'Status of Curriculum Completion'!$H$4:$H$38,"Planned")+SUMIFS('Status of Curriculum Completion'!$Z$4:$Z$38,'Status of Curriculum Completion'!$P$4:$P$38,"India",'Status of Curriculum Completion'!$U$4:$U$38,"Planned")+SUMIFS('Status of Curriculum Completion'!$AM$4:$AM$38,'Status of Curriculum Completion'!$AC$4:$AC$38,"India",'Status of Curriculum Completion'!$AH$4:$AH$38,"Planned")</f>
        <v>0</v>
      </c>
      <c r="J101" s="59">
        <f>SUMIFS('Status of Curriculum Completion'!$M$4:$M$38,'Status of Curriculum Completion'!$C$4:$C$38,"India",'Status of Curriculum Completion'!$I$4:$I$38,"Complete")+SUMIFS('Status of Curriculum Completion'!$Z$4:$Z$38,'Status of Curriculum Completion'!$P$4:$P$38,"India",'Status of Curriculum Completion'!$V$4:$V$38,"Complete")+SUMIFS('Status of Curriculum Completion'!$AM$4:$AM$38,'Status of Curriculum Completion'!$AC$4:$AC$38,"India",'Status of Curriculum Completion'!$AI$4:$AI$38,"Complete")</f>
        <v>623</v>
      </c>
      <c r="K101" s="59">
        <f>SUMIFS('Status of Curriculum Completion'!$M$4:$M$38,'Status of Curriculum Completion'!$C$4:$C$38,"India",'Status of Curriculum Completion'!$I$4:$I$38,"In Progress")+SUMIFS('Status of Curriculum Completion'!$Z$4:$Z$38,'Status of Curriculum Completion'!$P$4:$P$38,"India",'Status of Curriculum Completion'!$V$4:$V$38,"In Progress")+SUMIFS('Status of Curriculum Completion'!$AM$4:$AM$38,'Status of Curriculum Completion'!$AC$4:$AC$38,"India",'Status of Curriculum Completion'!$AI$4:$AI$38,"In Progress")</f>
        <v>0</v>
      </c>
      <c r="L101" s="59">
        <f>SUMIFS('Status of Curriculum Completion'!$M$4:$M$38,'Status of Curriculum Completion'!$C$4:$C$38,"India",'Status of Curriculum Completion'!$I$4:$I$38,"Planned")+SUMIFS('Status of Curriculum Completion'!$Z$4:$Z$38,'Status of Curriculum Completion'!$P$4:$P$38,"India",'Status of Curriculum Completion'!$V$4:$V$38,"Planned")+SUMIFS('Status of Curriculum Completion'!$AM$4:$AM$38,'Status of Curriculum Completion'!$AC$4:$AC$38,"India",'Status of Curriculum Completion'!$AI$4:$AI$38,"Planned")</f>
        <v>0</v>
      </c>
      <c r="M101" s="60">
        <f>SUMIFS('Status of Curriculum Completion'!$AZ$4:$AZ$38,'Status of Curriculum Completion'!$AP$4:$AP$38,"India",'Status of Curriculum Completion'!$AT$4:$AT$38,"Complete")+SUMIFS('Status of Curriculum Completion'!$BM$4:$BM$38,'Status of Curriculum Completion'!$BC$4:$BC$38,"India",'Status of Curriculum Completion'!$BG$4:$BG$38,"Complete")+SUMIFS('Status of Curriculum Completion'!$BZ$4:$BZ$38,'Status of Curriculum Completion'!$BP$4:$BP$38,"India",'Status of Curriculum Completion'!$BT$4:$BT$38,"Complete")</f>
        <v>81</v>
      </c>
      <c r="N101" s="60">
        <f>SUMIFS('Status of Curriculum Completion'!$AZ$4:$AZ$38,'Status of Curriculum Completion'!$AP$4:$AP$38,"India",'Status of Curriculum Completion'!$AT$4:$AT$38,"In Progress")+SUMIFS('Status of Curriculum Completion'!$BM$4:$BM$38,'Status of Curriculum Completion'!$BC$4:$BC$38,"India",'Status of Curriculum Completion'!$BG$4:$BG$38,"In Progress")+SUMIFS('Status of Curriculum Completion'!$BZ$4:$BZ$38,'Status of Curriculum Completion'!$BP$4:$BP$38,"India",'Status of Curriculum Completion'!$BT$4:$BT$38,"In Progress")</f>
        <v>0</v>
      </c>
      <c r="O101" s="60">
        <f>SUMIFS('Status of Curriculum Completion'!$AZ$4:$AZ$38,'Status of Curriculum Completion'!$AP$4:$AP$38,"India",'Status of Curriculum Completion'!$AT$4:$AT$38,"Planned")+SUMIFS('Status of Curriculum Completion'!$BM$4:$BM$38,'Status of Curriculum Completion'!$BC$4:$BC$38,"India",'Status of Curriculum Completion'!$BG$4:$BG$38,"Planned")+SUMIFS('Status of Curriculum Completion'!$BZ$4:$BZ$38,'Status of Curriculum Completion'!$BP$4:$BP$38,"India",'Status of Curriculum Completion'!$BT$4:$BT$38,"Planned")</f>
        <v>0</v>
      </c>
      <c r="P101" s="60">
        <f>SUMIFS('Status of Curriculum Completion'!$AZ$4:$AZ$38,'Status of Curriculum Completion'!$AP$4:$AP$38,"India",'Status of Curriculum Completion'!$AU$4:$AU$38,"Complete")+SUMIFS('Status of Curriculum Completion'!$BM$4:$BM$38,'Status of Curriculum Completion'!$BC$4:$BC$38,"India",'Status of Curriculum Completion'!$BH$4:$BH$38,"Complete")+SUMIFS('Status of Curriculum Completion'!$BZ$4:$BZ$38,'Status of Curriculum Completion'!$BP$4:$BP$38,"India",'Status of Curriculum Completion'!$BU$4:$BU$38,"Complete")</f>
        <v>81</v>
      </c>
      <c r="Q101" s="60">
        <f>SUMIFS('Status of Curriculum Completion'!$AZ$4:$AZ$38,'Status of Curriculum Completion'!$AP$4:$AP$38,"India",'Status of Curriculum Completion'!$AU$4:$AU$38,"In Progress")+SUMIFS('Status of Curriculum Completion'!$BM$4:$BM$38,'Status of Curriculum Completion'!$BC$4:$BC$38,"India",'Status of Curriculum Completion'!$BH$4:$BH$38,"In Progress")+SUMIFS('Status of Curriculum Completion'!$BZ$4:$BZ$38,'Status of Curriculum Completion'!$BP$4:$BP$38,"India",'Status of Curriculum Completion'!$BU$4:$BU$38,"In Progress")</f>
        <v>0</v>
      </c>
      <c r="R101" s="60">
        <f>SUMIFS('Status of Curriculum Completion'!$AZ$4:$AZ$38,'Status of Curriculum Completion'!$AP$4:$AP$38,"India",'Status of Curriculum Completion'!$AU$4:$AU$38,"Planned")+SUMIFS('Status of Curriculum Completion'!$BM$4:$BM$38,'Status of Curriculum Completion'!$BC$4:$BC$38,"India",'Status of Curriculum Completion'!$BH$4:$BH$38,"Planned")+SUMIFS('Status of Curriculum Completion'!$BZ$4:$BZ$38,'Status of Curriculum Completion'!$BP$4:$BP$38,"India",'Status of Curriculum Completion'!$BU$4:$BU$38,"Planned")</f>
        <v>0</v>
      </c>
      <c r="S101" s="60">
        <f>SUMIFS('Status of Curriculum Completion'!$AZ$4:$AZ$38,'Status of Curriculum Completion'!$AP$4:$AP$38,"India",'Status of Curriculum Completion'!$AV$4:$AV$38,"Complete")+SUMIFS('Status of Curriculum Completion'!$BM$4:$BM$38,'Status of Curriculum Completion'!$BC$4:$BC$38,"India",'Status of Curriculum Completion'!$BI$4:$BI$38,"Complete")+SUMIFS('Status of Curriculum Completion'!$BZ$4:$BZ$38,'Status of Curriculum Completion'!$BP$4:$BP$38,"India",'Status of Curriculum Completion'!$BV$4:$BV$38,"Complete")</f>
        <v>81</v>
      </c>
      <c r="T101" s="60">
        <f>SUMIFS('Status of Curriculum Completion'!$AZ$4:$AZ$38,'Status of Curriculum Completion'!$AP$4:$AP$38,"India",'Status of Curriculum Completion'!$AV$4:$AV$38,"In Progress")+SUMIFS('Status of Curriculum Completion'!$BM$4:$BM$38,'Status of Curriculum Completion'!$BC$4:$BC$38,"India",'Status of Curriculum Completion'!$BI$4:$BI$38,"In Progress")+SUMIFS('Status of Curriculum Completion'!$BZ$4:$BZ$38,'Status of Curriculum Completion'!$BP$4:$BP$38,"India",'Status of Curriculum Completion'!$BV$4:$BV$38,"In Progress")</f>
        <v>0</v>
      </c>
      <c r="U101" s="60">
        <f>SUMIFS('Status of Curriculum Completion'!$AZ$4:$AZ$38,'Status of Curriculum Completion'!$AP$4:$AP$38,"India",'Status of Curriculum Completion'!$AV$4:$AV$38,"Planned")+SUMIFS('Status of Curriculum Completion'!$BM$4:$BM$38,'Status of Curriculum Completion'!$BC$4:$BC$38,"India",'Status of Curriculum Completion'!$BI$4:$BI$38,"Planned")+SUMIFS('Status of Curriculum Completion'!$BZ$4:$BZ$38,'Status of Curriculum Completion'!$BP$4:$BP$38,"India",'Status of Curriculum Completion'!$BV$4:$BV$38,"Planned")</f>
        <v>0</v>
      </c>
      <c r="X101" s="63" t="s">
        <v>1628</v>
      </c>
      <c r="Y101" s="61">
        <f>SUMIFS('Status of Curriculum Completion'!$CM$4:$CM$38,'Status of Curriculum Completion'!$CC$4:$CC$38,"India",'Status of Curriculum Completion'!$CG$4:$CG$38,"Complete")+SUMIFS('Status of Curriculum Completion'!$CZ$4:$CZ$38,'Status of Curriculum Completion'!$CP$4:$CP$38,"India",'Status of Curriculum Completion'!$CT$4:$CT$38,"Complete")+SUMIFS('Status of Curriculum Completion'!$DM$4:$DM$38,'Status of Curriculum Completion'!$DC$4:$DC$38,"India",'Status of Curriculum Completion'!$DG$4:$DG$38,"Complete")</f>
        <v>162</v>
      </c>
      <c r="Z101" s="61">
        <f>SUMIFS('Status of Curriculum Completion'!$CM$4:$CM$38,'Status of Curriculum Completion'!$CC$4:$CC$38,"India",'Status of Curriculum Completion'!$CG$4:$CG$38,"In Progress")+SUMIFS('Status of Curriculum Completion'!$CZ$4:$CZ$38,'Status of Curriculum Completion'!$CP$4:$CP$38,"India",'Status of Curriculum Completion'!$CT$4:$CT$38,"In Progress")+SUMIFS('Status of Curriculum Completion'!$DM$4:$DM$38,'Status of Curriculum Completion'!$DC$4:$DC$38,"India",'Status of Curriculum Completion'!$DG$4:$DG$38,"In Progress")</f>
        <v>0</v>
      </c>
      <c r="AA101" s="61">
        <f>SUMIFS('Status of Curriculum Completion'!$CM$4:$CM$38,'Status of Curriculum Completion'!$CC$4:$CC$38,"India",'Status of Curriculum Completion'!$CG$4:$CG$38,"Planned")+SUMIFS('Status of Curriculum Completion'!$CZ$4:$CZ$38,'Status of Curriculum Completion'!$CP$4:$CP$38,"India",'Status of Curriculum Completion'!$CT$4:$CT$38,"Planned")+SUMIFS('Status of Curriculum Completion'!$DM$4:$DM$38,'Status of Curriculum Completion'!$DC$4:$DC$38,"India",'Status of Curriculum Completion'!$DG$4:$DG$38,"Planned")</f>
        <v>0</v>
      </c>
      <c r="AB101" s="61">
        <f>SUMIFS('Status of Curriculum Completion'!$CM$4:$CM$38,'Status of Curriculum Completion'!$CC$4:$CC$38,"India",'Status of Curriculum Completion'!$CG$4:$CG$38,"Tentative")+SUMIFS('Status of Curriculum Completion'!$CZ$4:$CZ$38,'Status of Curriculum Completion'!$CP$4:$CP$38,"India",'Status of Curriculum Completion'!$CT$4:$CT$38,"Tentative")+SUMIFS('Status of Curriculum Completion'!$DM$4:$DM$38,'Status of Curriculum Completion'!$DC$4:$DC$38,"India",'Status of Curriculum Completion'!$DG$4:$DG$38,"Tentative")</f>
        <v>0</v>
      </c>
      <c r="AC101" s="61">
        <f>SUMIFS('Status of Curriculum Completion'!$CM$4:$CM$38,'Status of Curriculum Completion'!$CC$4:$CC$38,"India",'Status of Curriculum Completion'!$CH$4:$CH$38,"Complete")+SUMIFS('Status of Curriculum Completion'!$CZ$4:$CZ$38,'Status of Curriculum Completion'!$CP$4:$CP$38,"India",'Status of Curriculum Completion'!$CU$4:$CU$38,"Complete")+SUMIFS('Status of Curriculum Completion'!$DM$4:$DM$38,'Status of Curriculum Completion'!$DC$4:$DC$38,"India",'Status of Curriculum Completion'!$DH$4:$DH$38,"Complete")</f>
        <v>162</v>
      </c>
      <c r="AD101" s="61">
        <f>SUMIFS('Status of Curriculum Completion'!$CM$4:$CM$38,'Status of Curriculum Completion'!$CC$4:$CC$38,"India",'Status of Curriculum Completion'!$CH$4:$CH$38,"In Progress")+SUMIFS('Status of Curriculum Completion'!$CZ$4:$CZ$38,'Status of Curriculum Completion'!$CP$4:$CP$38,"India",'Status of Curriculum Completion'!$CU$4:$CU$38,"In Progress")+SUMIFS('Status of Curriculum Completion'!$DM$4:$DM$38,'Status of Curriculum Completion'!$DC$4:$DC$38,"India",'Status of Curriculum Completion'!$DH$4:$DH$38,"In Progress")</f>
        <v>0</v>
      </c>
      <c r="AE101" s="61">
        <f>SUMIFS('Status of Curriculum Completion'!$CM$4:$CM$38,'Status of Curriculum Completion'!$CC$4:$CC$38,"India",'Status of Curriculum Completion'!$CH$4:$CH$38,"Planned")+SUMIFS('Status of Curriculum Completion'!$CZ$4:$CZ$38,'Status of Curriculum Completion'!$CP$4:$CP$38,"India",'Status of Curriculum Completion'!$CU$4:$CU$38,"Planned")+SUMIFS('Status of Curriculum Completion'!$DM$4:$DM$38,'Status of Curriculum Completion'!$DC$4:$DC$38,"India",'Status of Curriculum Completion'!$DH$4:$DH$38,"Planned")</f>
        <v>0</v>
      </c>
      <c r="AF101" s="61">
        <f>SUMIFS('Status of Curriculum Completion'!$CM$4:$CM$38,'Status of Curriculum Completion'!$CC$4:$CC$38,"India",'Status of Curriculum Completion'!$CH$4:$CH$38,"Tentative")+SUMIFS('Status of Curriculum Completion'!$CZ$4:$CZ$38,'Status of Curriculum Completion'!$CP$4:$CP$38,"India",'Status of Curriculum Completion'!$CU$4:$CU$38,"Tentative")+SUMIFS('Status of Curriculum Completion'!$DM$4:$DM$38,'Status of Curriculum Completion'!$DC$4:$DC$38,"India",'Status of Curriculum Completion'!$DH$4:$DH$38,"Tentative")</f>
        <v>0</v>
      </c>
      <c r="AG101" s="61">
        <f>SUMIFS('Status of Curriculum Completion'!$CM$4:$CM$38,'Status of Curriculum Completion'!$CC$4:$CC$38,"India",'Status of Curriculum Completion'!$CI$4:$CI$38,"Complete")+SUMIFS('Status of Curriculum Completion'!$CZ$4:$CZ$38,'Status of Curriculum Completion'!$CP$4:$CP$38,"India",'Status of Curriculum Completion'!$CV$4:$CV$38,"Complete")+SUMIFS('Status of Curriculum Completion'!$DM$4:$DM$38,'Status of Curriculum Completion'!$DC$4:$DC$38,"India",'Status of Curriculum Completion'!$DI$4:$DI$38,"Complete")</f>
        <v>0</v>
      </c>
      <c r="AH101" s="61">
        <f>SUMIFS('Status of Curriculum Completion'!$CM$4:$CM$38,'Status of Curriculum Completion'!$CC$4:$CC$38,"India",'Status of Curriculum Completion'!$CI$4:$CI$38,"In Progress")+SUMIFS('Status of Curriculum Completion'!$CZ$4:$CZ$38,'Status of Curriculum Completion'!$CP$4:$CP$38,"India",'Status of Curriculum Completion'!$CV$4:$CV$38,"In Progress")+SUMIFS('Status of Curriculum Completion'!$DM$4:$DM$38,'Status of Curriculum Completion'!$DC$4:$DC$38,"India",'Status of Curriculum Completion'!$DI$4:$DI$38,"In Progress")</f>
        <v>162</v>
      </c>
      <c r="AI101" s="61">
        <f>SUMIFS('Status of Curriculum Completion'!$CM$4:$CM$38,'Status of Curriculum Completion'!$CC$4:$CC$38,"India",'Status of Curriculum Completion'!$CI$4:$CI$38,"Planned")+SUMIFS('Status of Curriculum Completion'!$CZ$4:$CZ$38,'Status of Curriculum Completion'!$CP$4:$CP$38,"India",'Status of Curriculum Completion'!$CV$4:$CV$38,"Planned")+SUMIFS('Status of Curriculum Completion'!$DM$4:$DM$38,'Status of Curriculum Completion'!$DC$4:$DC$38,"India",'Status of Curriculum Completion'!$DI$4:$DI$38,"Planned")</f>
        <v>0</v>
      </c>
      <c r="AJ101" s="61">
        <f>SUMIFS('Status of Curriculum Completion'!$CM$4:$CM$38,'Status of Curriculum Completion'!$CC$4:$CC$38,"India",'Status of Curriculum Completion'!$CI$4:$CI$38,"Tentative")+SUMIFS('Status of Curriculum Completion'!$CZ$4:$CZ$38,'Status of Curriculum Completion'!$CP$4:$CP$38,"India",'Status of Curriculum Completion'!$CV$4:$CV$38,"Tentative")+SUMIFS('Status of Curriculum Completion'!$DM$4:$DM$38,'Status of Curriculum Completion'!$DC$4:$DC$38,"India",'Status of Curriculum Completion'!$DI$4:$DI$38,"Tentative")</f>
        <v>0</v>
      </c>
      <c r="AK101" s="62">
        <f>SUMIFS('Status of Curriculum Completion'!$DZ$4:$DZ$38,'Status of Curriculum Completion'!$DP$4:$DP$38,"India",'Status of Curriculum Completion'!$DT$4:$DT$38,"Complete")+SUMIFS('Status of Curriculum Completion'!$EM$4:$EM$38,'Status of Curriculum Completion'!$EC$4:$EC$38,"India",'Status of Curriculum Completion'!$EG$4:$EG$38,"Complete")+SUMIFS('Status of Curriculum Completion'!$EZ$4:$EZ$38,'Status of Curriculum Completion'!$EP$4:$EP$38,"India",'Status of Curriculum Completion'!$ET$4:$ET$38,"Complete")</f>
        <v>168</v>
      </c>
      <c r="AL101" s="62">
        <f>SUMIFS('Status of Curriculum Completion'!$DZ$4:$DZ$38,'Status of Curriculum Completion'!$DP$4:$DP$38,"India",'Status of Curriculum Completion'!$DT$4:$DT$38,"In Progress")+SUMIFS('Status of Curriculum Completion'!$EM$4:$EM$38,'Status of Curriculum Completion'!$EC$4:$EC$38,"India",'Status of Curriculum Completion'!$EG$4:$EG$38,"In Progress")+SUMIFS('Status of Curriculum Completion'!$EZ$4:$EZ$38,'Status of Curriculum Completion'!$EP$4:$EP$38,"India",'Status of Curriculum Completion'!$ET$4:$ET$38,"In Progress")</f>
        <v>0</v>
      </c>
      <c r="AM101" s="62">
        <f>SUMIFS('Status of Curriculum Completion'!$DZ$4:$DZ$38,'Status of Curriculum Completion'!$DP$4:$DP$38,"India",'Status of Curriculum Completion'!$DT$4:$DT$38,"Planned")+SUMIFS('Status of Curriculum Completion'!$EM$4:$EM$38,'Status of Curriculum Completion'!$EC$4:$EC$38,"India",'Status of Curriculum Completion'!$EG$4:$EG$38,"Planned")+SUMIFS('Status of Curriculum Completion'!$EZ$4:$EZ$38,'Status of Curriculum Completion'!$EP$4:$EP$38,"India",'Status of Curriculum Completion'!$ET$4:$ET$38,"Planned")</f>
        <v>0</v>
      </c>
      <c r="AN101" s="62">
        <f>SUMIFS('Status of Curriculum Completion'!$DZ$4:$DZ$38,'Status of Curriculum Completion'!$DP$4:$DP$38,"India",'Status of Curriculum Completion'!$DT$4:$DT$38,"Tentative")+SUMIFS('Status of Curriculum Completion'!$EM$4:$EM$38,'Status of Curriculum Completion'!$EC$4:$EC$38,"India",'Status of Curriculum Completion'!$EG$4:$EG$38,"Tentative")+SUMIFS('Status of Curriculum Completion'!$EZ$4:$EZ$38,'Status of Curriculum Completion'!$EP$4:$EP$38,"India",'Status of Curriculum Completion'!$ET$4:$ET$38,"Tentative")</f>
        <v>0</v>
      </c>
      <c r="AO101" s="62">
        <f>SUMIFS('Status of Curriculum Completion'!$DZ$4:$DZ$38,'Status of Curriculum Completion'!$DP$4:$DP$38,"India",'Status of Curriculum Completion'!$DU$4:$DU$38,"Complete")+SUMIFS('Status of Curriculum Completion'!$EM$4:$EM$38,'Status of Curriculum Completion'!$EC$4:$EC$38,"India",'Status of Curriculum Completion'!$EH$4:$EH$38,"Complete")+SUMIFS('Status of Curriculum Completion'!$EZ$4:$EZ$38,'Status of Curriculum Completion'!$EP$4:$EP$38,"India",'Status of Curriculum Completion'!$EU$4:$EU$38,"Complete")</f>
        <v>168</v>
      </c>
      <c r="AP101" s="62">
        <f>SUMIFS('Status of Curriculum Completion'!$DZ$4:$DZ$38,'Status of Curriculum Completion'!$DP$4:$DP$38,"India",'Status of Curriculum Completion'!$DU$4:$DU$38,"In Progress")+SUMIFS('Status of Curriculum Completion'!$EM$4:$EM$38,'Status of Curriculum Completion'!$EC$4:$EC$38,"India",'Status of Curriculum Completion'!$EH$4:$EH$38,"In Progress")+SUMIFS('Status of Curriculum Completion'!$EZ$4:$EZ$38,'Status of Curriculum Completion'!$EP$4:$EP$38,"India",'Status of Curriculum Completion'!$EU$4:$EU$38,"In Progress")</f>
        <v>0</v>
      </c>
      <c r="AQ101" s="62">
        <f>SUMIFS('Status of Curriculum Completion'!$DZ$4:$DZ$38,'Status of Curriculum Completion'!$DP$4:$DP$38,"India",'Status of Curriculum Completion'!$DU$4:$DU$38,"Planned")+SUMIFS('Status of Curriculum Completion'!$EM$4:$EM$38,'Status of Curriculum Completion'!$EC$4:$EC$38,"India",'Status of Curriculum Completion'!$EH$4:$EH$38,"Planned")+SUMIFS('Status of Curriculum Completion'!$EZ$4:$EZ$38,'Status of Curriculum Completion'!$EP$4:$EP$38,"India",'Status of Curriculum Completion'!$EU$4:$EU$38,"Planned")</f>
        <v>0</v>
      </c>
      <c r="AR101" s="62">
        <f>SUMIFS('Status of Curriculum Completion'!$DZ$4:$DZ$38,'Status of Curriculum Completion'!$DP$4:$DP$38,"India",'Status of Curriculum Completion'!$DU$4:$DU$38,"Tentative")+SUMIFS('Status of Curriculum Completion'!$EM$4:$EM$38,'Status of Curriculum Completion'!$EC$4:$EC$38,"India",'Status of Curriculum Completion'!$EH$4:$EH$38,"Tentative")+SUMIFS('Status of Curriculum Completion'!$EZ$4:$EZ$38,'Status of Curriculum Completion'!$EP$4:$EP$38,"India",'Status of Curriculum Completion'!$EU$4:$EU$38,"Tentative")</f>
        <v>0</v>
      </c>
      <c r="AS101" s="62">
        <f>SUMIFS('Status of Curriculum Completion'!$DZ$4:$DZ$38,'Status of Curriculum Completion'!$DP$4:$DP$38,"India",'Status of Curriculum Completion'!$DV$4:$DV$38,"Complete")+SUMIFS('Status of Curriculum Completion'!$EM$4:$EM$38,'Status of Curriculum Completion'!$EC$4:$EC$38,"India",'Status of Curriculum Completion'!$EI$4:$EI$38,"Complete")+SUMIFS('Status of Curriculum Completion'!$EZ$4:$EZ$38,'Status of Curriculum Completion'!$EP$4:$EP$38,"India",'Status of Curriculum Completion'!$EV$4:$EV$38,"Complete")</f>
        <v>0</v>
      </c>
      <c r="AT101" s="62">
        <f>SUMIFS('Status of Curriculum Completion'!$DZ$4:$DZ$38,'Status of Curriculum Completion'!$DP$4:$DP$38,"India",'Status of Curriculum Completion'!$DV$4:$DV$38,"In Progress")+SUMIFS('Status of Curriculum Completion'!$EM$4:$EM$38,'Status of Curriculum Completion'!$EC$4:$EC$38,"India",'Status of Curriculum Completion'!$EI$4:$EI$38,"In Progress")+SUMIFS('Status of Curriculum Completion'!$EZ$4:$EZ$38,'Status of Curriculum Completion'!$EP$4:$EP$38,"India",'Status of Curriculum Completion'!$EV$4:$EV$38,"In Progress")</f>
        <v>0</v>
      </c>
      <c r="AU101" s="62">
        <f>SUMIFS('Status of Curriculum Completion'!$DZ$4:$DZ$38,'Status of Curriculum Completion'!$DP$4:$DP$38,"India",'Status of Curriculum Completion'!$DV$4:$DV$38,"Planned")+SUMIFS('Status of Curriculum Completion'!$EM$4:$EM$38,'Status of Curriculum Completion'!$EC$4:$EC$38,"India",'Status of Curriculum Completion'!$EI$4:$EI$38,"Planned")+SUMIFS('Status of Curriculum Completion'!$EZ$4:$EZ$38,'Status of Curriculum Completion'!$EP$4:$EP$38,"India",'Status of Curriculum Completion'!$EV$4:$EV$38,"Planned")</f>
        <v>168</v>
      </c>
      <c r="AV101" s="62">
        <f>SUMIFS('Status of Curriculum Completion'!$DZ$4:$DZ$38,'Status of Curriculum Completion'!$DP$4:$DP$38,"India",'Status of Curriculum Completion'!$DV$4:$DV$38,"Tentative")+SUMIFS('Status of Curriculum Completion'!$EM$4:$EM$38,'Status of Curriculum Completion'!$EC$4:$EC$38,"India",'Status of Curriculum Completion'!$EI$4:$EI$38,"Tentative")+SUMIFS('Status of Curriculum Completion'!$EZ$4:$EZ$38,'Status of Curriculum Completion'!$EP$4:$EP$38,"India",'Status of Curriculum Completion'!$EV$4:$EV$38,"Tentative")</f>
        <v>0</v>
      </c>
    </row>
    <row r="102" spans="3:48" ht="15" hidden="1" customHeight="1" thickBot="1">
      <c r="C102" s="63" t="s">
        <v>1629</v>
      </c>
      <c r="D102" s="59">
        <f>SUMIFS('Status of Curriculum Completion'!$M$4:$M$38,'Status of Curriculum Completion'!$C$4:$C$38,"LA",'Status of Curriculum Completion'!$G$4:$G$38,"Complete")+SUMIFS('Status of Curriculum Completion'!$Z$4:$Z$38,'Status of Curriculum Completion'!$P$4:$P$38,"LA",'Status of Curriculum Completion'!$T$4:$T$38,"Complete")+SUMIFS('Status of Curriculum Completion'!$AM$4:$AM$38,'Status of Curriculum Completion'!$AC$4:$AC$38,"LA",'Status of Curriculum Completion'!$AG$4:$AG$38,"Complete")</f>
        <v>0</v>
      </c>
      <c r="E102" s="59">
        <f>SUMIFS('Status of Curriculum Completion'!$M$4:$M$38,'Status of Curriculum Completion'!$C$4:$C$38,"LA",'Status of Curriculum Completion'!$G$4:$G$38,"In progress")+SUMIFS('Status of Curriculum Completion'!$Z$4:$Z$38,'Status of Curriculum Completion'!$P$4:$P$38,"LA",'Status of Curriculum Completion'!$T$4:$T$38,"In progress")+SUMIFS('Status of Curriculum Completion'!$AM$4:$AM$38,'Status of Curriculum Completion'!$AC$4:$AC$38,"LA",'Status of Curriculum Completion'!$AG$4:$AG$38,"In progress")</f>
        <v>0</v>
      </c>
      <c r="F102" s="59">
        <f>SUMIFS('Status of Curriculum Completion'!$M$4:$M$38,'Status of Curriculum Completion'!$C$4:$C$38,"LA",'Status of Curriculum Completion'!$G$4:$G$38,"Planned")+SUMIFS('Status of Curriculum Completion'!$Z$4:$Z$38,'Status of Curriculum Completion'!$P$4:$P$38,"LA",'Status of Curriculum Completion'!$T$4:$T$38,"Planned")+SUMIFS('Status of Curriculum Completion'!$AM$4:$AM$38,'Status of Curriculum Completion'!$AC$4:$AC$38,"LA",'Status of Curriculum Completion'!$AG$4:$AG$38,"Planned")</f>
        <v>0</v>
      </c>
      <c r="G102" s="59">
        <f>SUMIFS('Status of Curriculum Completion'!$M$4:$M$38,'Status of Curriculum Completion'!$C$4:$C$38,"LA",'Status of Curriculum Completion'!$H$4:$H$38,"Complete")+SUMIFS('Status of Curriculum Completion'!$Z$4:$Z$38,'Status of Curriculum Completion'!$P$4:$P$38,"LA",'Status of Curriculum Completion'!$U$4:$U$38,"Complete")+SUMIFS('Status of Curriculum Completion'!$AM$4:$AM$38,'Status of Curriculum Completion'!$AC$4:$AC$38,"LA",'Status of Curriculum Completion'!$AH$4:$AH$38,"Complete")</f>
        <v>0</v>
      </c>
      <c r="H102" s="59">
        <f>SUMIFS('Status of Curriculum Completion'!$M$4:$M$38,'Status of Curriculum Completion'!$C$4:$C$38,"LA",'Status of Curriculum Completion'!$H$4:$H$38,"In Progress")+SUMIFS('Status of Curriculum Completion'!$Z$4:$Z$38,'Status of Curriculum Completion'!$P$4:$P$38,"LA",'Status of Curriculum Completion'!$U$4:$U$38,"In Progress")+SUMIFS('Status of Curriculum Completion'!$AM$4:$AM$38,'Status of Curriculum Completion'!$AC$4:$AC$38,"LA",'Status of Curriculum Completion'!$AH$4:$AH$38,"In Progress")</f>
        <v>0</v>
      </c>
      <c r="I102" s="59">
        <f>SUMIFS('Status of Curriculum Completion'!$M$4:$M$38,'Status of Curriculum Completion'!$C$4:$C$38,"LA",'Status of Curriculum Completion'!$H$4:$H$38,"Planned")+SUMIFS('Status of Curriculum Completion'!$Z$4:$Z$38,'Status of Curriculum Completion'!$P$4:$P$38,"LA",'Status of Curriculum Completion'!$U$4:$U$38,"Planned")+SUMIFS('Status of Curriculum Completion'!$AM$4:$AM$38,'Status of Curriculum Completion'!$AC$4:$AC$38,"LA",'Status of Curriculum Completion'!$AH$4:$AH$38,"Planned")</f>
        <v>0</v>
      </c>
      <c r="J102" s="59">
        <f>SUMIFS('Status of Curriculum Completion'!$M$4:$M$38,'Status of Curriculum Completion'!$C$4:$C$38,"LA",'Status of Curriculum Completion'!$I$4:$I$38,"Complete")+SUMIFS('Status of Curriculum Completion'!$Z$4:$Z$38,'Status of Curriculum Completion'!$P$4:$P$38,"LA",'Status of Curriculum Completion'!$V$4:$V$38,"Complete")+SUMIFS('Status of Curriculum Completion'!$AM$4:$AM$38,'Status of Curriculum Completion'!$AC$4:$AC$38,"LA",'Status of Curriculum Completion'!$AI$4:$AI$38,"Complete")</f>
        <v>0</v>
      </c>
      <c r="K102" s="59">
        <f>SUMIFS('Status of Curriculum Completion'!$M$4:$M$38,'Status of Curriculum Completion'!$C$4:$C$38,"LA",'Status of Curriculum Completion'!$I$4:$I$38,"In Progress")+SUMIFS('Status of Curriculum Completion'!$Z$4:$Z$38,'Status of Curriculum Completion'!$P$4:$P$38,"LA",'Status of Curriculum Completion'!$V$4:$V$38,"In Progress")+SUMIFS('Status of Curriculum Completion'!$AM$4:$AM$38,'Status of Curriculum Completion'!$AC$4:$AC$38,"LA",'Status of Curriculum Completion'!$AI$4:$AI$38,"In Progress")</f>
        <v>0</v>
      </c>
      <c r="L102" s="59">
        <f>SUMIFS('Status of Curriculum Completion'!$M$4:$M$38,'Status of Curriculum Completion'!$C$4:$C$38,"LA",'Status of Curriculum Completion'!$I$4:$I$38,"Planned")+SUMIFS('Status of Curriculum Completion'!$Z$4:$Z$38,'Status of Curriculum Completion'!$P$4:$P$38,"LA",'Status of Curriculum Completion'!$V$4:$V$38,"Planned")+SUMIFS('Status of Curriculum Completion'!$AM$4:$AM$38,'Status of Curriculum Completion'!$AC$4:$AC$38,"LA",'Status of Curriculum Completion'!$AI$4:$AI$38,"Planned")</f>
        <v>0</v>
      </c>
      <c r="M102" s="60">
        <f>SUMIFS('Status of Curriculum Completion'!$AZ$4:$AZ$38,'Status of Curriculum Completion'!$AP$4:$AP$38,"LA",'Status of Curriculum Completion'!$AT$4:$AT$38,"Complete")+SUMIFS('Status of Curriculum Completion'!$BM$4:$BM$38,'Status of Curriculum Completion'!$BC$4:$BC$38,"LA",'Status of Curriculum Completion'!$BG$4:$BG$38,"Complete")+SUMIFS('Status of Curriculum Completion'!$BZ$4:$BZ$38,'Status of Curriculum Completion'!$BP$4:$BP$38,"LA",'Status of Curriculum Completion'!$BT$4:$BT$38,"Complete")</f>
        <v>96</v>
      </c>
      <c r="N102" s="60">
        <f>SUMIFS('Status of Curriculum Completion'!$AZ$4:$AZ$38,'Status of Curriculum Completion'!$AP$4:$AP$38,"LA",'Status of Curriculum Completion'!$AT$4:$AT$38,"In Progress")+SUMIFS('Status of Curriculum Completion'!$BM$4:$BM$38,'Status of Curriculum Completion'!$BC$4:$BC$38,"LA",'Status of Curriculum Completion'!$BG$4:$BG$38,"In Progress")+SUMIFS('Status of Curriculum Completion'!$BZ$4:$BZ$38,'Status of Curriculum Completion'!$BP$4:$BP$38,"LA",'Status of Curriculum Completion'!$BT$4:$BT$38,"In Progress")</f>
        <v>0</v>
      </c>
      <c r="O102" s="60">
        <f>SUMIFS('Status of Curriculum Completion'!$AZ$4:$AZ$38,'Status of Curriculum Completion'!$AP$4:$AP$38,"LA",'Status of Curriculum Completion'!$AT$4:$AT$38,"Planned")+SUMIFS('Status of Curriculum Completion'!$BM$4:$BM$38,'Status of Curriculum Completion'!$BC$4:$BC$38,"LA",'Status of Curriculum Completion'!$BG$4:$BG$38,"Planned")+SUMIFS('Status of Curriculum Completion'!$BZ$4:$BZ$38,'Status of Curriculum Completion'!$BP$4:$BP$38,"LA",'Status of Curriculum Completion'!$BT$4:$BT$38,"Planned")</f>
        <v>0</v>
      </c>
      <c r="P102" s="60">
        <f>SUMIFS('Status of Curriculum Completion'!$AZ$4:$AZ$38,'Status of Curriculum Completion'!$AP$4:$AP$38,"LA",'Status of Curriculum Completion'!$AU$4:$AU$38,"Complete")+SUMIFS('Status of Curriculum Completion'!$BM$4:$BM$38,'Status of Curriculum Completion'!$BC$4:$BC$38,"LA",'Status of Curriculum Completion'!$BH$4:$BH$38,"Complete")+SUMIFS('Status of Curriculum Completion'!$BZ$4:$BZ$38,'Status of Curriculum Completion'!$BP$4:$BP$38,"LA",'Status of Curriculum Completion'!$BU$4:$BU$38,"Complete")</f>
        <v>96</v>
      </c>
      <c r="Q102" s="60">
        <f>SUMIFS('Status of Curriculum Completion'!$AZ$4:$AZ$38,'Status of Curriculum Completion'!$AP$4:$AP$38,"LA",'Status of Curriculum Completion'!$AU$4:$AU$38,"In Progress")+SUMIFS('Status of Curriculum Completion'!$BM$4:$BM$38,'Status of Curriculum Completion'!$BC$4:$BC$38,"LA",'Status of Curriculum Completion'!$BH$4:$BH$38,"In Progress")+SUMIFS('Status of Curriculum Completion'!$BZ$4:$BZ$38,'Status of Curriculum Completion'!$BP$4:$BP$38,"LA",'Status of Curriculum Completion'!$BU$4:$BU$38,"In Progress")</f>
        <v>0</v>
      </c>
      <c r="R102" s="60">
        <f>SUMIFS('Status of Curriculum Completion'!$AZ$4:$AZ$38,'Status of Curriculum Completion'!$AP$4:$AP$38,"LA",'Status of Curriculum Completion'!$AU$4:$AU$38,"Planned")+SUMIFS('Status of Curriculum Completion'!$BM$4:$BM$38,'Status of Curriculum Completion'!$BC$4:$BC$38,"LA",'Status of Curriculum Completion'!$BH$4:$BH$38,"Planned")+SUMIFS('Status of Curriculum Completion'!$BZ$4:$BZ$38,'Status of Curriculum Completion'!$BP$4:$BP$38,"LA",'Status of Curriculum Completion'!$BU$4:$BU$38,"Planned")</f>
        <v>0</v>
      </c>
      <c r="S102" s="60">
        <f>SUMIFS('Status of Curriculum Completion'!$AZ$4:$AZ$38,'Status of Curriculum Completion'!$AP$4:$AP$38,"LA",'Status of Curriculum Completion'!$AV$4:$AV$38,"Complete")+SUMIFS('Status of Curriculum Completion'!$BM$4:$BM$38,'Status of Curriculum Completion'!$BC$4:$BC$38,"LA",'Status of Curriculum Completion'!$BI$4:$BI$38,"Complete")+SUMIFS('Status of Curriculum Completion'!$BZ$4:$BZ$38,'Status of Curriculum Completion'!$BP$4:$BP$38,"LA",'Status of Curriculum Completion'!$BV$4:$BV$38,"Complete")</f>
        <v>96</v>
      </c>
      <c r="T102" s="60">
        <f>SUMIFS('Status of Curriculum Completion'!$AZ$4:$AZ$38,'Status of Curriculum Completion'!$AP$4:$AP$38,"LA",'Status of Curriculum Completion'!$AV$4:$AV$38,"In Progress")+SUMIFS('Status of Curriculum Completion'!$BM$4:$BM$38,'Status of Curriculum Completion'!$BC$4:$BC$38,"LA",'Status of Curriculum Completion'!$BI$4:$BI$38,"In Progress")+SUMIFS('Status of Curriculum Completion'!$BZ$4:$BZ$38,'Status of Curriculum Completion'!$BP$4:$BP$38,"LA",'Status of Curriculum Completion'!$BV$4:$BV$38,"In Progress")</f>
        <v>0</v>
      </c>
      <c r="U102" s="60">
        <f>SUMIFS('Status of Curriculum Completion'!$AZ$4:$AZ$38,'Status of Curriculum Completion'!$AP$4:$AP$38,"LA",'Status of Curriculum Completion'!$AV$4:$AV$38,"Planned")+SUMIFS('Status of Curriculum Completion'!$BM$4:$BM$38,'Status of Curriculum Completion'!$BC$4:$BC$38,"LA",'Status of Curriculum Completion'!$BI$4:$BI$38,"Planned")+SUMIFS('Status of Curriculum Completion'!$BZ$4:$BZ$38,'Status of Curriculum Completion'!$BP$4:$BP$38,"LA",'Status of Curriculum Completion'!$BV$4:$BV$38,"Planned")</f>
        <v>0</v>
      </c>
      <c r="V102"/>
      <c r="W102"/>
      <c r="X102" s="63" t="s">
        <v>1629</v>
      </c>
      <c r="Y102" s="61">
        <f>SUMIFS('Status of Curriculum Completion'!$CM$4:$CM$38,'Status of Curriculum Completion'!$CC$4:$CC$38,"LA",'Status of Curriculum Completion'!$CG$4:$CG$38,"Complete")+SUMIFS('Status of Curriculum Completion'!$CZ$4:$CZ$38,'Status of Curriculum Completion'!$CP$4:$CP$38,"LA",'Status of Curriculum Completion'!$CT$4:$CT$38,"Complete")+SUMIFS('Status of Curriculum Completion'!$DM$4:$DM$38,'Status of Curriculum Completion'!$DC$4:$DC$38,"LA",'Status of Curriculum Completion'!$DG$4:$DG$38,"Complete")</f>
        <v>147</v>
      </c>
      <c r="Z102" s="61">
        <f>SUMIFS('Status of Curriculum Completion'!$CM$4:$CM$38,'Status of Curriculum Completion'!$CC$4:$CC$38,"LA",'Status of Curriculum Completion'!$CG$4:$CG$38,"In Progress")+SUMIFS('Status of Curriculum Completion'!$CZ$4:$CZ$38,'Status of Curriculum Completion'!$CP$4:$CP$38,"LA",'Status of Curriculum Completion'!$CT$4:$CT$38,"In Progress")+SUMIFS('Status of Curriculum Completion'!$DM$4:$DM$38,'Status of Curriculum Completion'!$DC$4:$DC$38,"LA",'Status of Curriculum Completion'!$DG$4:$DG$38,"In Progress")</f>
        <v>0</v>
      </c>
      <c r="AA102" s="61">
        <f>SUMIFS('Status of Curriculum Completion'!$CM$4:$CM$38,'Status of Curriculum Completion'!$CC$4:$CC$38,"LA",'Status of Curriculum Completion'!$CG$4:$CG$38,"Planned")+SUMIFS('Status of Curriculum Completion'!$CZ$4:$CZ$38,'Status of Curriculum Completion'!$CP$4:$CP$38,"LA",'Status of Curriculum Completion'!$CT$4:$CT$38,"Planned")+SUMIFS('Status of Curriculum Completion'!$DM$4:$DM$38,'Status of Curriculum Completion'!$DC$4:$DC$38,"LA",'Status of Curriculum Completion'!$DG$4:$DG$38,"Planned")</f>
        <v>0</v>
      </c>
      <c r="AB102" s="61">
        <f>SUMIFS('Status of Curriculum Completion'!$CM$4:$CM$38,'Status of Curriculum Completion'!$CC$4:$CC$38,"LA",'Status of Curriculum Completion'!$CG$4:$CG$38,"Tentative")+SUMIFS('Status of Curriculum Completion'!$CZ$4:$CZ$38,'Status of Curriculum Completion'!$CP$4:$CP$38,"LA",'Status of Curriculum Completion'!$CT$4:$CT$38,"Tentative")+SUMIFS('Status of Curriculum Completion'!$DM$4:$DM$38,'Status of Curriculum Completion'!$DC$4:$DC$38,"LA",'Status of Curriculum Completion'!$DG$4:$DG$38,"Tentative")</f>
        <v>0</v>
      </c>
      <c r="AC102" s="61">
        <f>SUMIFS('Status of Curriculum Completion'!$CM$4:$CM$38,'Status of Curriculum Completion'!$CC$4:$CC$38,"LA",'Status of Curriculum Completion'!$CH$4:$CH$38,"Complete")+SUMIFS('Status of Curriculum Completion'!$CZ$4:$CZ$38,'Status of Curriculum Completion'!$CP$4:$CP$38,"LA",'Status of Curriculum Completion'!$CU$4:$CU$38,"Complete")+SUMIFS('Status of Curriculum Completion'!$DM$4:$DM$38,'Status of Curriculum Completion'!$DC$4:$DC$38,"LA",'Status of Curriculum Completion'!$DH$4:$DH$38,"Complete")</f>
        <v>147</v>
      </c>
      <c r="AD102" s="61">
        <f>SUMIFS('Status of Curriculum Completion'!$CM$4:$CM$38,'Status of Curriculum Completion'!$CC$4:$CC$38,"LA",'Status of Curriculum Completion'!$CH$4:$CH$38,"In Progress")+SUMIFS('Status of Curriculum Completion'!$CZ$4:$CZ$38,'Status of Curriculum Completion'!$CP$4:$CP$38,"LA",'Status of Curriculum Completion'!$CU$4:$CU$38,"In Progress")+SUMIFS('Status of Curriculum Completion'!$DM$4:$DM$38,'Status of Curriculum Completion'!$DC$4:$DC$38,"LA",'Status of Curriculum Completion'!$DH$4:$DH$38,"In Progress")</f>
        <v>0</v>
      </c>
      <c r="AE102" s="61">
        <f>SUMIFS('Status of Curriculum Completion'!$CM$4:$CM$38,'Status of Curriculum Completion'!$CC$4:$CC$38,"LA",'Status of Curriculum Completion'!$CH$4:$CH$38,"Planned")+SUMIFS('Status of Curriculum Completion'!$CZ$4:$CZ$38,'Status of Curriculum Completion'!$CP$4:$CP$38,"LA",'Status of Curriculum Completion'!$CU$4:$CU$38,"Planned")+SUMIFS('Status of Curriculum Completion'!$DM$4:$DM$38,'Status of Curriculum Completion'!$DC$4:$DC$38,"LA",'Status of Curriculum Completion'!$DH$4:$DH$38,"Planned")</f>
        <v>0</v>
      </c>
      <c r="AF102" s="61">
        <f>SUMIFS('Status of Curriculum Completion'!$CM$4:$CM$38,'Status of Curriculum Completion'!$CC$4:$CC$38,"LA",'Status of Curriculum Completion'!$CH$4:$CH$38,"Tentative")+SUMIFS('Status of Curriculum Completion'!$CZ$4:$CZ$38,'Status of Curriculum Completion'!$CP$4:$CP$38,"LA",'Status of Curriculum Completion'!$CU$4:$CU$38,"Tentative")+SUMIFS('Status of Curriculum Completion'!$DM$4:$DM$38,'Status of Curriculum Completion'!$DC$4:$DC$38,"LA",'Status of Curriculum Completion'!$DH$4:$DH$38,"Tentative")</f>
        <v>0</v>
      </c>
      <c r="AG102" s="61">
        <f>SUMIFS('Status of Curriculum Completion'!$CM$4:$CM$38,'Status of Curriculum Completion'!$CC$4:$CC$38,"LA",'Status of Curriculum Completion'!$CI$4:$CI$38,"Complete")+SUMIFS('Status of Curriculum Completion'!$CZ$4:$CZ$38,'Status of Curriculum Completion'!$CP$4:$CP$38,"LA",'Status of Curriculum Completion'!$CV$4:$CV$38,"Complete")+SUMIFS('Status of Curriculum Completion'!$DM$4:$DM$38,'Status of Curriculum Completion'!$DC$4:$DC$38,"LA",'Status of Curriculum Completion'!$DI$4:$DI$38,"Complete")</f>
        <v>80</v>
      </c>
      <c r="AH102" s="61">
        <f>SUMIFS('Status of Curriculum Completion'!$CM$4:$CM$38,'Status of Curriculum Completion'!$CC$4:$CC$38,"LA",'Status of Curriculum Completion'!$CI$4:$CI$38,"In Progress")+SUMIFS('Status of Curriculum Completion'!$CZ$4:$CZ$38,'Status of Curriculum Completion'!$CP$4:$CP$38,"LA",'Status of Curriculum Completion'!$CV$4:$CV$38,"In Progress")+SUMIFS('Status of Curriculum Completion'!$DM$4:$DM$38,'Status of Curriculum Completion'!$DC$4:$DC$38,"LA",'Status of Curriculum Completion'!$DI$4:$DI$38,"In Progress")</f>
        <v>59</v>
      </c>
      <c r="AI102" s="61">
        <f>SUMIFS('Status of Curriculum Completion'!$CM$4:$CM$38,'Status of Curriculum Completion'!$CC$4:$CC$38,"LA",'Status of Curriculum Completion'!$CI$4:$CI$38,"Planned")+SUMIFS('Status of Curriculum Completion'!$CZ$4:$CZ$38,'Status of Curriculum Completion'!$CP$4:$CP$38,"LA",'Status of Curriculum Completion'!$CV$4:$CV$38,"Planned")+SUMIFS('Status of Curriculum Completion'!$DM$4:$DM$38,'Status of Curriculum Completion'!$DC$4:$DC$38,"LA",'Status of Curriculum Completion'!$DI$4:$DI$38,"Planned")</f>
        <v>0</v>
      </c>
      <c r="AJ102" s="61">
        <f>SUMIFS('Status of Curriculum Completion'!$CM$4:$CM$38,'Status of Curriculum Completion'!$CC$4:$CC$38,"LA",'Status of Curriculum Completion'!$CI$4:$CI$38,"Tentative")+SUMIFS('Status of Curriculum Completion'!$CZ$4:$CZ$38,'Status of Curriculum Completion'!$CP$4:$CP$38,"LA",'Status of Curriculum Completion'!$CV$4:$CV$38,"Tentative")+SUMIFS('Status of Curriculum Completion'!$DM$4:$DM$38,'Status of Curriculum Completion'!$DC$4:$DC$38,"LA",'Status of Curriculum Completion'!$DI$4:$DI$38,"Tentative")</f>
        <v>8</v>
      </c>
      <c r="AK102" s="62">
        <f>SUMIFS('Status of Curriculum Completion'!$DZ$4:$DZ$38,'Status of Curriculum Completion'!$DP$4:$DP$38,"LA",'Status of Curriculum Completion'!$DT$4:$DT$38,"Complete")+SUMIFS('Status of Curriculum Completion'!$EM$4:$EM$38,'Status of Curriculum Completion'!$EC$4:$EC$38,"LA",'Status of Curriculum Completion'!$EG$4:$EG$38,"Complete")+SUMIFS('Status of Curriculum Completion'!$EZ$4:$EZ$38,'Status of Curriculum Completion'!$EP$4:$EP$38,"LA",'Status of Curriculum Completion'!$ET$4:$ET$38,"Complete")</f>
        <v>373</v>
      </c>
      <c r="AL102" s="62">
        <f>SUMIFS('Status of Curriculum Completion'!$DZ$4:$DZ$38,'Status of Curriculum Completion'!$DP$4:$DP$38,"LA",'Status of Curriculum Completion'!$DT$4:$DT$38,"In Progress")+SUMIFS('Status of Curriculum Completion'!$EM$4:$EM$38,'Status of Curriculum Completion'!$EC$4:$EC$38,"LA",'Status of Curriculum Completion'!$EG$4:$EG$38,"In Progress")+SUMIFS('Status of Curriculum Completion'!$EZ$4:$EZ$38,'Status of Curriculum Completion'!$EP$4:$EP$38,"LA",'Status of Curriculum Completion'!$ET$4:$ET$38,"In Progress")</f>
        <v>0</v>
      </c>
      <c r="AM102" s="62">
        <f>SUMIFS('Status of Curriculum Completion'!$DZ$4:$DZ$38,'Status of Curriculum Completion'!$DP$4:$DP$38,"LA",'Status of Curriculum Completion'!$DT$4:$DT$38,"Planned")+SUMIFS('Status of Curriculum Completion'!$EM$4:$EM$38,'Status of Curriculum Completion'!$EC$4:$EC$38,"LA",'Status of Curriculum Completion'!$EG$4:$EG$38,"Planned")+SUMIFS('Status of Curriculum Completion'!$EZ$4:$EZ$38,'Status of Curriculum Completion'!$EP$4:$EP$38,"LA",'Status of Curriculum Completion'!$ET$4:$ET$38,"Planned")</f>
        <v>0</v>
      </c>
      <c r="AN102" s="62">
        <f>SUMIFS('Status of Curriculum Completion'!$DZ$4:$DZ$38,'Status of Curriculum Completion'!$DP$4:$DP$38,"LA",'Status of Curriculum Completion'!$DT$4:$DT$38,"Tentative")+SUMIFS('Status of Curriculum Completion'!$EM$4:$EM$38,'Status of Curriculum Completion'!$EC$4:$EC$38,"LA",'Status of Curriculum Completion'!$EG$4:$EG$38,"Tentative")+SUMIFS('Status of Curriculum Completion'!$EZ$4:$EZ$38,'Status of Curriculum Completion'!$EP$4:$EP$38,"LA",'Status of Curriculum Completion'!$ET$4:$ET$38,"Tentative")</f>
        <v>0</v>
      </c>
      <c r="AO102" s="62">
        <f>SUMIFS('Status of Curriculum Completion'!$DZ$4:$DZ$38,'Status of Curriculum Completion'!$DP$4:$DP$38,"LA",'Status of Curriculum Completion'!$DU$4:$DU$38,"Complete")+SUMIFS('Status of Curriculum Completion'!$EM$4:$EM$38,'Status of Curriculum Completion'!$EC$4:$EC$38,"LA",'Status of Curriculum Completion'!$EH$4:$EH$38,"Complete")+SUMIFS('Status of Curriculum Completion'!$EZ$4:$EZ$38,'Status of Curriculum Completion'!$EP$4:$EP$38,"LA",'Status of Curriculum Completion'!$EU$4:$EU$38,"Complete")</f>
        <v>135</v>
      </c>
      <c r="AP102" s="62">
        <f>SUMIFS('Status of Curriculum Completion'!$DZ$4:$DZ$38,'Status of Curriculum Completion'!$DP$4:$DP$38,"LA",'Status of Curriculum Completion'!$DU$4:$DU$38,"In Progress")+SUMIFS('Status of Curriculum Completion'!$EM$4:$EM$38,'Status of Curriculum Completion'!$EC$4:$EC$38,"LA",'Status of Curriculum Completion'!$EH$4:$EH$38,"In Progress")+SUMIFS('Status of Curriculum Completion'!$EZ$4:$EZ$38,'Status of Curriculum Completion'!$EP$4:$EP$38,"LA",'Status of Curriculum Completion'!$EU$4:$EU$38,"In Progress")</f>
        <v>238</v>
      </c>
      <c r="AQ102" s="62">
        <f>SUMIFS('Status of Curriculum Completion'!$DZ$4:$DZ$38,'Status of Curriculum Completion'!$DP$4:$DP$38,"LA",'Status of Curriculum Completion'!$DU$4:$DU$38,"Planned")+SUMIFS('Status of Curriculum Completion'!$EM$4:$EM$38,'Status of Curriculum Completion'!$EC$4:$EC$38,"LA",'Status of Curriculum Completion'!$EH$4:$EH$38,"Planned")+SUMIFS('Status of Curriculum Completion'!$EZ$4:$EZ$38,'Status of Curriculum Completion'!$EP$4:$EP$38,"LA",'Status of Curriculum Completion'!$EU$4:$EU$38,"Planned")</f>
        <v>0</v>
      </c>
      <c r="AR102" s="62">
        <f>SUMIFS('Status of Curriculum Completion'!$DZ$4:$DZ$38,'Status of Curriculum Completion'!$DP$4:$DP$38,"LA",'Status of Curriculum Completion'!$DU$4:$DU$38,"Tentative")+SUMIFS('Status of Curriculum Completion'!$EM$4:$EM$38,'Status of Curriculum Completion'!$EC$4:$EC$38,"LA",'Status of Curriculum Completion'!$EH$4:$EH$38,"Tentative")+SUMIFS('Status of Curriculum Completion'!$EZ$4:$EZ$38,'Status of Curriculum Completion'!$EP$4:$EP$38,"LA",'Status of Curriculum Completion'!$EU$4:$EU$38,"Tentative")</f>
        <v>0</v>
      </c>
      <c r="AS102" s="62">
        <f>SUMIFS('Status of Curriculum Completion'!$DZ$4:$DZ$38,'Status of Curriculum Completion'!$DP$4:$DP$38,"LA",'Status of Curriculum Completion'!$DV$4:$DV$38,"Complete")+SUMIFS('Status of Curriculum Completion'!$EM$4:$EM$38,'Status of Curriculum Completion'!$EC$4:$EC$38,"LA",'Status of Curriculum Completion'!$EI$4:$EI$38,"Complete")+SUMIFS('Status of Curriculum Completion'!$EZ$4:$EZ$38,'Status of Curriculum Completion'!$EP$4:$EP$38,"LA",'Status of Curriculum Completion'!$EV$4:$EV$38,"Complete")</f>
        <v>0</v>
      </c>
      <c r="AT102" s="62">
        <f>SUMIFS('Status of Curriculum Completion'!$DZ$4:$DZ$38,'Status of Curriculum Completion'!$DP$4:$DP$38,"LA",'Status of Curriculum Completion'!$DV$4:$DV$38,"In Progress")+SUMIFS('Status of Curriculum Completion'!$EM$4:$EM$38,'Status of Curriculum Completion'!$EC$4:$EC$38,"LA",'Status of Curriculum Completion'!$EI$4:$EI$38,"In Progress")+SUMIFS('Status of Curriculum Completion'!$EZ$4:$EZ$38,'Status of Curriculum Completion'!$EP$4:$EP$38,"LA",'Status of Curriculum Completion'!$EV$4:$EV$38,"In Progress")</f>
        <v>0</v>
      </c>
      <c r="AU102" s="62">
        <f>SUMIFS('Status of Curriculum Completion'!$DZ$4:$DZ$38,'Status of Curriculum Completion'!$DP$4:$DP$38,"LA",'Status of Curriculum Completion'!$DV$4:$DV$38,"Planned")+SUMIFS('Status of Curriculum Completion'!$EM$4:$EM$38,'Status of Curriculum Completion'!$EC$4:$EC$38,"LA",'Status of Curriculum Completion'!$EI$4:$EI$38,"Planned")+SUMIFS('Status of Curriculum Completion'!$EZ$4:$EZ$38,'Status of Curriculum Completion'!$EP$4:$EP$38,"LA",'Status of Curriculum Completion'!$EV$4:$EV$38,"Planned")</f>
        <v>0</v>
      </c>
      <c r="AV102" s="62">
        <f>SUMIFS('Status of Curriculum Completion'!$DZ$4:$DZ$38,'Status of Curriculum Completion'!$DP$4:$DP$38,"LA",'Status of Curriculum Completion'!$DV$4:$DV$38,"Tentative")+SUMIFS('Status of Curriculum Completion'!$EM$4:$EM$38,'Status of Curriculum Completion'!$EC$4:$EC$38,"LA",'Status of Curriculum Completion'!$EI$4:$EI$38,"Tentative")+SUMIFS('Status of Curriculum Completion'!$EZ$4:$EZ$38,'Status of Curriculum Completion'!$EP$4:$EP$38,"LA",'Status of Curriculum Completion'!$EV$4:$EV$38,"Tentative")</f>
        <v>373</v>
      </c>
    </row>
    <row r="103" spans="3:48" ht="15" hidden="1" thickBot="1">
      <c r="C103" s="63" t="s">
        <v>1630</v>
      </c>
      <c r="D103" s="59">
        <f>SUMIFS('Status of Curriculum Completion'!$M$4:$M$38,'Status of Curriculum Completion'!$C$4:$C$38,"CIC MEA",'Status of Curriculum Completion'!$G$4:$G$38,"Complete")+SUMIFS('Status of Curriculum Completion'!$Z$4:$Z$38,'Status of Curriculum Completion'!$P$4:$P$38,"CIC MEA",'Status of Curriculum Completion'!$T$4:$T$38,"Complete")+SUMIFS('Status of Curriculum Completion'!$AM$4:$AM$38,'Status of Curriculum Completion'!$AC$4:$AC$38,"CIC MEA",'Status of Curriculum Completion'!$AG$4:$AG$38,"Complete")</f>
        <v>0</v>
      </c>
      <c r="E103" s="59">
        <f>SUMIFS('Status of Curriculum Completion'!$M$4:$M$38,'Status of Curriculum Completion'!$C$4:$C$38,"CIC MEA",'Status of Curriculum Completion'!$G$4:$G$38,"In progress")+SUMIFS('Status of Curriculum Completion'!$Z$4:$Z$38,'Status of Curriculum Completion'!$P$4:$P$38,"CIC MEA",'Status of Curriculum Completion'!$T$4:$T$38,"In progress")+SUMIFS('Status of Curriculum Completion'!$AM$4:$AM$38,'Status of Curriculum Completion'!$AC$4:$AC$38,"CIC MEA",'Status of Curriculum Completion'!$AG$4:$AG$38,"In progress")</f>
        <v>0</v>
      </c>
      <c r="F103" s="59">
        <f>SUMIFS('Status of Curriculum Completion'!$M$4:$M$38,'Status of Curriculum Completion'!$C$4:$C$38,"CIC MEA",'Status of Curriculum Completion'!$G$4:$G$38,"Planned")+SUMIFS('Status of Curriculum Completion'!$Z$4:$Z$38,'Status of Curriculum Completion'!$P$4:$P$38,"CIC MEA",'Status of Curriculum Completion'!$T$4:$T$38,"Planned")+SUMIFS('Status of Curriculum Completion'!$AM$4:$AM$38,'Status of Curriculum Completion'!$AC$4:$AC$38,"CIC MEA",'Status of Curriculum Completion'!$AG$4:$AG$38,"Planned")</f>
        <v>0</v>
      </c>
      <c r="G103" s="59">
        <f>SUMIFS('Status of Curriculum Completion'!$M$4:$M$38,'Status of Curriculum Completion'!$C$4:$C$38,"CIC MEA",'Status of Curriculum Completion'!$H$4:$H$38,"Complete")+SUMIFS('Status of Curriculum Completion'!$Z$4:$Z$38,'Status of Curriculum Completion'!$P$4:$P$38,"CIC MEA",'Status of Curriculum Completion'!$U$4:$U$38,"Complete")+SUMIFS('Status of Curriculum Completion'!$AM$4:$AM$38,'Status of Curriculum Completion'!$AC$4:$AC$38,"CIC MEA",'Status of Curriculum Completion'!$AH$4:$AH$38,"Complete")</f>
        <v>0</v>
      </c>
      <c r="H103" s="59">
        <f>SUMIFS('Status of Curriculum Completion'!$M$4:$M$38,'Status of Curriculum Completion'!$C$4:$C$38,"CIC MEA",'Status of Curriculum Completion'!$H$4:$H$38,"In Progress")+SUMIFS('Status of Curriculum Completion'!$Z$4:$Z$38,'Status of Curriculum Completion'!$P$4:$P$38,"CIC MEA",'Status of Curriculum Completion'!$U$4:$U$38,"In Progress")+SUMIFS('Status of Curriculum Completion'!$AM$4:$AM$38,'Status of Curriculum Completion'!$AC$4:$AC$38,"CIC MEA",'Status of Curriculum Completion'!$AH$4:$AH$38,"In Progress")</f>
        <v>0</v>
      </c>
      <c r="I103" s="59">
        <f>SUMIFS('Status of Curriculum Completion'!$M$4:$M$38,'Status of Curriculum Completion'!$C$4:$C$38,"CIC MEA",'Status of Curriculum Completion'!$H$4:$H$38,"Planned")+SUMIFS('Status of Curriculum Completion'!$Z$4:$Z$38,'Status of Curriculum Completion'!$P$4:$P$38,"CIC MEA",'Status of Curriculum Completion'!$U$4:$U$38,"Planned")+SUMIFS('Status of Curriculum Completion'!$AM$4:$AM$38,'Status of Curriculum Completion'!$AC$4:$AC$38,"CIC MEA",'Status of Curriculum Completion'!$AH$4:$AH$38,"Planned")</f>
        <v>0</v>
      </c>
      <c r="J103" s="59">
        <f>SUMIFS('Status of Curriculum Completion'!$M$4:$M$38,'Status of Curriculum Completion'!$C$4:$C$38,"CIC MEA",'Status of Curriculum Completion'!$I$4:$I$38,"Complete")+SUMIFS('Status of Curriculum Completion'!$Z$4:$Z$38,'Status of Curriculum Completion'!$P$4:$P$38,"CIC MEA",'Status of Curriculum Completion'!$V$4:$V$38,"Complete")+SUMIFS('Status of Curriculum Completion'!$AM$4:$AM$38,'Status of Curriculum Completion'!$AC$4:$AC$38,"CIC MEA",'Status of Curriculum Completion'!$AI$4:$AI$38,"Complete")</f>
        <v>0</v>
      </c>
      <c r="K103" s="59">
        <f>SUMIFS('Status of Curriculum Completion'!$M$4:$M$38,'Status of Curriculum Completion'!$C$4:$C$38,"CIC MEA",'Status of Curriculum Completion'!$I$4:$I$38,"In Progress")+SUMIFS('Status of Curriculum Completion'!$Z$4:$Z$38,'Status of Curriculum Completion'!$P$4:$P$38,"CIC MEA",'Status of Curriculum Completion'!$V$4:$V$38,"In Progress")+SUMIFS('Status of Curriculum Completion'!$AM$4:$AM$38,'Status of Curriculum Completion'!$AC$4:$AC$38,"CIC MEA",'Status of Curriculum Completion'!$AI$4:$AI$38,"In Progress")</f>
        <v>0</v>
      </c>
      <c r="L103" s="59">
        <f>SUMIFS('Status of Curriculum Completion'!$M$4:$M$38,'Status of Curriculum Completion'!$C$4:$C$38,"CIC MEA",'Status of Curriculum Completion'!$I$4:$I$38,"Planned")+SUMIFS('Status of Curriculum Completion'!$Z$4:$Z$38,'Status of Curriculum Completion'!$P$4:$P$38,"CIC MEA",'Status of Curriculum Completion'!$V$4:$V$38,"Planned")+SUMIFS('Status of Curriculum Completion'!$AM$4:$AM$38,'Status of Curriculum Completion'!$AC$4:$AC$38,"CIC MEA",'Status of Curriculum Completion'!$AI$4:$AI$38,"Planned")</f>
        <v>0</v>
      </c>
      <c r="M103" s="60">
        <f>SUMIFS('Status of Curriculum Completion'!$AZ$4:$AZ$38,'Status of Curriculum Completion'!$AP$4:$AP$38,"CIC MEA",'Status of Curriculum Completion'!$AT$4:$AT$38,"Complete")+SUMIFS('Status of Curriculum Completion'!$BM$4:$BM$38,'Status of Curriculum Completion'!$BC$4:$BC$38,"CIC MEA",'Status of Curriculum Completion'!$BG$4:$BG$38,"Complete")+SUMIFS('Status of Curriculum Completion'!$BZ$4:$BZ$38,'Status of Curriculum Completion'!$BP$4:$BP$38,"CIC MEA",'Status of Curriculum Completion'!$BT$4:$BT$38,"Complete")</f>
        <v>0</v>
      </c>
      <c r="N103" s="60">
        <f>SUMIFS('Status of Curriculum Completion'!$AZ$4:$AZ$38,'Status of Curriculum Completion'!$AP$4:$AP$38,"CIC MEA",'Status of Curriculum Completion'!$AT$4:$AT$38,"In Progress")+SUMIFS('Status of Curriculum Completion'!$BM$4:$BM$38,'Status of Curriculum Completion'!$BC$4:$BC$38,"CIC MEA",'Status of Curriculum Completion'!$BG$4:$BG$38,"In Progress")+SUMIFS('Status of Curriculum Completion'!$BZ$4:$BZ$38,'Status of Curriculum Completion'!$BP$4:$BP$38,"CIC MEA",'Status of Curriculum Completion'!$BT$4:$BT$38,"In Progress")</f>
        <v>0</v>
      </c>
      <c r="O103" s="60">
        <f>SUMIFS('Status of Curriculum Completion'!$AZ$4:$AZ$38,'Status of Curriculum Completion'!$AP$4:$AP$38,"CIC MEA",'Status of Curriculum Completion'!$AT$4:$AT$38,"Planned")+SUMIFS('Status of Curriculum Completion'!$BM$4:$BM$38,'Status of Curriculum Completion'!$BC$4:$BC$38,"CIC MEA",'Status of Curriculum Completion'!$BG$4:$BG$38,"Planned")+SUMIFS('Status of Curriculum Completion'!$BZ$4:$BZ$38,'Status of Curriculum Completion'!$BP$4:$BP$38,"CIC MEA",'Status of Curriculum Completion'!$BT$4:$BT$38,"Planned")</f>
        <v>0</v>
      </c>
      <c r="P103" s="60">
        <f>SUMIFS('Status of Curriculum Completion'!$AZ$4:$AZ$38,'Status of Curriculum Completion'!$AP$4:$AP$38,"CIC MEA",'Status of Curriculum Completion'!$AU$4:$AU$38,"Complete")+SUMIFS('Status of Curriculum Completion'!$BM$4:$BM$38,'Status of Curriculum Completion'!$BC$4:$BC$38,"CIC MEA",'Status of Curriculum Completion'!$BH$4:$BH$38,"Complete")+SUMIFS('Status of Curriculum Completion'!$BZ$4:$BZ$38,'Status of Curriculum Completion'!$BP$4:$BP$38,"CIC MEA",'Status of Curriculum Completion'!$BU$4:$BU$38,"Complete")</f>
        <v>0</v>
      </c>
      <c r="Q103" s="60">
        <f>SUMIFS('Status of Curriculum Completion'!$AZ$4:$AZ$38,'Status of Curriculum Completion'!$AP$4:$AP$38,"CIC MEA",'Status of Curriculum Completion'!$AU$4:$AU$38,"In Progress")+SUMIFS('Status of Curriculum Completion'!$BM$4:$BM$38,'Status of Curriculum Completion'!$BC$4:$BC$38,"CIC MEA",'Status of Curriculum Completion'!$BH$4:$BH$38,"In Progress")+SUMIFS('Status of Curriculum Completion'!$BZ$4:$BZ$38,'Status of Curriculum Completion'!$BP$4:$BP$38,"CIC MEA",'Status of Curriculum Completion'!$BU$4:$BU$38,"In Progress")</f>
        <v>0</v>
      </c>
      <c r="R103" s="60">
        <f>SUMIFS('Status of Curriculum Completion'!$AZ$4:$AZ$38,'Status of Curriculum Completion'!$AP$4:$AP$38,"CIC MEA",'Status of Curriculum Completion'!$AU$4:$AU$38,"Planned")+SUMIFS('Status of Curriculum Completion'!$BM$4:$BM$38,'Status of Curriculum Completion'!$BC$4:$BC$38,"CIC MEA",'Status of Curriculum Completion'!$BH$4:$BH$38,"Planned")+SUMIFS('Status of Curriculum Completion'!$BZ$4:$BZ$38,'Status of Curriculum Completion'!$BP$4:$BP$38,"CIC MEA",'Status of Curriculum Completion'!$BU$4:$BU$38,"Planned")</f>
        <v>0</v>
      </c>
      <c r="S103" s="60">
        <f>SUMIFS('Status of Curriculum Completion'!$AZ$4:$AZ$38,'Status of Curriculum Completion'!$AP$4:$AP$38,"CIC MEA",'Status of Curriculum Completion'!$AV$4:$AV$38,"Complete")+SUMIFS('Status of Curriculum Completion'!$BM$4:$BM$38,'Status of Curriculum Completion'!$BC$4:$BC$38,"CIC MEA",'Status of Curriculum Completion'!$BI$4:$BI$38,"Complete")+SUMIFS('Status of Curriculum Completion'!$BZ$4:$BZ$38,'Status of Curriculum Completion'!$BP$4:$BP$38,"CIC MEA",'Status of Curriculum Completion'!$BV$4:$BV$38,"Complete")</f>
        <v>0</v>
      </c>
      <c r="T103" s="60">
        <f>SUMIFS('Status of Curriculum Completion'!$AZ$4:$AZ$38,'Status of Curriculum Completion'!$AP$4:$AP$38,"CIC MEA",'Status of Curriculum Completion'!$AV$4:$AV$38,"In Progress")+SUMIFS('Status of Curriculum Completion'!$BM$4:$BM$38,'Status of Curriculum Completion'!$BC$4:$BC$38,"CIC MEA",'Status of Curriculum Completion'!$BI$4:$BI$38,"In Progress")+SUMIFS('Status of Curriculum Completion'!$BZ$4:$BZ$38,'Status of Curriculum Completion'!$BP$4:$BP$38,"CIC MEA",'Status of Curriculum Completion'!$BV$4:$BV$38,"In Progress")</f>
        <v>0</v>
      </c>
      <c r="U103" s="60">
        <f>SUMIFS('Status of Curriculum Completion'!$AZ$4:$AZ$38,'Status of Curriculum Completion'!$AP$4:$AP$38,"CIC MEA",'Status of Curriculum Completion'!$AV$4:$AV$38,"Planned")+SUMIFS('Status of Curriculum Completion'!$BM$4:$BM$38,'Status of Curriculum Completion'!$BC$4:$BC$38,"CIC MEA",'Status of Curriculum Completion'!$BI$4:$BI$38,"Planned")+SUMIFS('Status of Curriculum Completion'!$BZ$4:$BZ$38,'Status of Curriculum Completion'!$BP$4:$BP$38,"CIC MEA",'Status of Curriculum Completion'!$BV$4:$BV$38,"Planned")</f>
        <v>0</v>
      </c>
      <c r="V103" s="58"/>
      <c r="W103"/>
      <c r="X103" s="63" t="s">
        <v>1630</v>
      </c>
      <c r="Y103" s="61">
        <f>SUMIFS('Status of Curriculum Completion'!$CM$4:$CM$38,'Status of Curriculum Completion'!$CC$4:$CC$38,"CIC MEA",'Status of Curriculum Completion'!$CG$4:$CG$38,"Complete")+SUMIFS('Status of Curriculum Completion'!$CZ$4:$CZ$38,'Status of Curriculum Completion'!$CP$4:$CP$38,"CIC MEA",'Status of Curriculum Completion'!$CT$4:$CT$38,"Complete")+SUMIFS('Status of Curriculum Completion'!$DM$4:$DM$38,'Status of Curriculum Completion'!$DC$4:$DC$38,"CIC MEA",'Status of Curriculum Completion'!$DG$4:$DG$38,"Complete")</f>
        <v>23</v>
      </c>
      <c r="Z103" s="61">
        <f>SUMIFS('Status of Curriculum Completion'!$CM$4:$CM$38,'Status of Curriculum Completion'!$CC$4:$CC$38,"CIC MEA",'Status of Curriculum Completion'!$CG$4:$CG$38,"In Progress")+SUMIFS('Status of Curriculum Completion'!$CZ$4:$CZ$38,'Status of Curriculum Completion'!$CP$4:$CP$38,"CIC MEA",'Status of Curriculum Completion'!$CT$4:$CT$38,"In Progress")+SUMIFS('Status of Curriculum Completion'!$DM$4:$DM$38,'Status of Curriculum Completion'!$DC$4:$DC$38,"CIC MEA",'Status of Curriculum Completion'!$DG$4:$DG$38,"In Progress")</f>
        <v>0</v>
      </c>
      <c r="AA103" s="61">
        <f>SUMIFS('Status of Curriculum Completion'!$CM$4:$CM$38,'Status of Curriculum Completion'!$CC$4:$CC$38,"CIC MEA",'Status of Curriculum Completion'!$CG$4:$CG$38,"Planned")+SUMIFS('Status of Curriculum Completion'!$CZ$4:$CZ$38,'Status of Curriculum Completion'!$CP$4:$CP$38,"CIC MEA",'Status of Curriculum Completion'!$CT$4:$CT$38,"Planned")+SUMIFS('Status of Curriculum Completion'!$DM$4:$DM$38,'Status of Curriculum Completion'!$DC$4:$DC$38,"CIC MEA",'Status of Curriculum Completion'!$DG$4:$DG$38,"Planned")</f>
        <v>0</v>
      </c>
      <c r="AB103" s="61">
        <f>SUMIFS('Status of Curriculum Completion'!$CM$4:$CM$38,'Status of Curriculum Completion'!$CC$4:$CC$38,"CIC MEA",'Status of Curriculum Completion'!$CG$4:$CG$38,"Tentative")+SUMIFS('Status of Curriculum Completion'!$CZ$4:$CZ$38,'Status of Curriculum Completion'!$CP$4:$CP$38,"CIC MEA",'Status of Curriculum Completion'!$CT$4:$CT$38,"Tentative")+SUMIFS('Status of Curriculum Completion'!$DM$4:$DM$38,'Status of Curriculum Completion'!$DC$4:$DC$38,"CIC MEA",'Status of Curriculum Completion'!$DG$4:$DG$38,"Tentative")</f>
        <v>0</v>
      </c>
      <c r="AC103" s="61">
        <f>SUMIFS('Status of Curriculum Completion'!$CM$4:$CM$38,'Status of Curriculum Completion'!$CC$4:$CC$38,"CIC MEA",'Status of Curriculum Completion'!$CH$4:$CH$38,"Complete")+SUMIFS('Status of Curriculum Completion'!$CZ$4:$CZ$38,'Status of Curriculum Completion'!$CP$4:$CP$38,"CIC MEA",'Status of Curriculum Completion'!$CU$4:$CU$38,"Complete")+SUMIFS('Status of Curriculum Completion'!$DM$4:$DM$38,'Status of Curriculum Completion'!$DC$4:$DC$38,"CIC MEA",'Status of Curriculum Completion'!$DH$4:$DH$38,"Complete")</f>
        <v>0</v>
      </c>
      <c r="AD103" s="61">
        <f>SUMIFS('Status of Curriculum Completion'!$CM$4:$CM$38,'Status of Curriculum Completion'!$CC$4:$CC$38,"CIC MEA",'Status of Curriculum Completion'!$CH$4:$CH$38,"In Progress")+SUMIFS('Status of Curriculum Completion'!$CZ$4:$CZ$38,'Status of Curriculum Completion'!$CP$4:$CP$38,"CIC MEA",'Status of Curriculum Completion'!$CU$4:$CU$38,"In Progress")+SUMIFS('Status of Curriculum Completion'!$DM$4:$DM$38,'Status of Curriculum Completion'!$DC$4:$DC$38,"CIC MEA",'Status of Curriculum Completion'!$DH$4:$DH$38,"In Progress")</f>
        <v>23</v>
      </c>
      <c r="AE103" s="61">
        <f>SUMIFS('Status of Curriculum Completion'!$CM$4:$CM$38,'Status of Curriculum Completion'!$CC$4:$CC$38,"CIC MEA",'Status of Curriculum Completion'!$CH$4:$CH$38,"Planned")+SUMIFS('Status of Curriculum Completion'!$CZ$4:$CZ$38,'Status of Curriculum Completion'!$CP$4:$CP$38,"CIC MEA",'Status of Curriculum Completion'!$CU$4:$CU$38,"Planned")+SUMIFS('Status of Curriculum Completion'!$DM$4:$DM$38,'Status of Curriculum Completion'!$DC$4:$DC$38,"CIC MEA",'Status of Curriculum Completion'!$DH$4:$DH$38,"Planned")</f>
        <v>0</v>
      </c>
      <c r="AF103" s="61">
        <f>SUMIFS('Status of Curriculum Completion'!$CM$4:$CM$38,'Status of Curriculum Completion'!$CC$4:$CC$38,"CIC MEA",'Status of Curriculum Completion'!$CH$4:$CH$38,"Tentative")+SUMIFS('Status of Curriculum Completion'!$CZ$4:$CZ$38,'Status of Curriculum Completion'!$CP$4:$CP$38,"CIC MEA",'Status of Curriculum Completion'!$CU$4:$CU$38,"Tentative")+SUMIFS('Status of Curriculum Completion'!$DM$4:$DM$38,'Status of Curriculum Completion'!$DC$4:$DC$38,"CIC MEA",'Status of Curriculum Completion'!$DH$4:$DH$38,"Tentative")</f>
        <v>0</v>
      </c>
      <c r="AG103" s="61">
        <f>SUMIFS('Status of Curriculum Completion'!$CM$4:$CM$38,'Status of Curriculum Completion'!$CC$4:$CC$38,"CIC MEA",'Status of Curriculum Completion'!$CI$4:$CI$38,"Complete")+SUMIFS('Status of Curriculum Completion'!$CZ$4:$CZ$38,'Status of Curriculum Completion'!$CP$4:$CP$38,"CIC MEA",'Status of Curriculum Completion'!$CV$4:$CV$38,"Complete")+SUMIFS('Status of Curriculum Completion'!$DM$4:$DM$38,'Status of Curriculum Completion'!$DC$4:$DC$38,"CIC MEA",'Status of Curriculum Completion'!$DI$4:$DI$38,"Complete")</f>
        <v>0</v>
      </c>
      <c r="AH103" s="61">
        <f>SUMIFS('Status of Curriculum Completion'!$CM$4:$CM$38,'Status of Curriculum Completion'!$CC$4:$CC$38,"CIC MEA",'Status of Curriculum Completion'!$CI$4:$CI$38,"In Progress")+SUMIFS('Status of Curriculum Completion'!$CZ$4:$CZ$38,'Status of Curriculum Completion'!$CP$4:$CP$38,"CIC MEA",'Status of Curriculum Completion'!$CV$4:$CV$38,"In Progress")+SUMIFS('Status of Curriculum Completion'!$DM$4:$DM$38,'Status of Curriculum Completion'!$DC$4:$DC$38,"CIC MEA",'Status of Curriculum Completion'!$DI$4:$DI$38,"In Progress")</f>
        <v>23</v>
      </c>
      <c r="AI103" s="61">
        <f>SUMIFS('Status of Curriculum Completion'!$CM$4:$CM$38,'Status of Curriculum Completion'!$CC$4:$CC$38,"CIC MEA",'Status of Curriculum Completion'!$CI$4:$CI$38,"Planned")+SUMIFS('Status of Curriculum Completion'!$CZ$4:$CZ$38,'Status of Curriculum Completion'!$CP$4:$CP$38,"CIC MEA",'Status of Curriculum Completion'!$CV$4:$CV$38,"Planned")+SUMIFS('Status of Curriculum Completion'!$DM$4:$DM$38,'Status of Curriculum Completion'!$DC$4:$DC$38,"CIC MEA",'Status of Curriculum Completion'!$DI$4:$DI$38,"Planned")</f>
        <v>0</v>
      </c>
      <c r="AJ103" s="61">
        <f>SUMIFS('Status of Curriculum Completion'!$CM$4:$CM$38,'Status of Curriculum Completion'!$CC$4:$CC$38,"CIC MEA",'Status of Curriculum Completion'!$CI$4:$CI$38,"Tentative")+SUMIFS('Status of Curriculum Completion'!$CZ$4:$CZ$38,'Status of Curriculum Completion'!$CP$4:$CP$38,"CIC MEA",'Status of Curriculum Completion'!$CV$4:$CV$38,"Tentative")+SUMIFS('Status of Curriculum Completion'!$DM$4:$DM$38,'Status of Curriculum Completion'!$DC$4:$DC$38,"CIC MEA",'Status of Curriculum Completion'!$DI$4:$DI$38,"Tentative")</f>
        <v>0</v>
      </c>
      <c r="AK103" s="62">
        <f>SUMIFS('Status of Curriculum Completion'!$DZ$4:$DZ$38,'Status of Curriculum Completion'!$DP$4:$DP$38,"CIC MEA",'Status of Curriculum Completion'!$DT$4:$DT$38,"Complete")+SUMIFS('Status of Curriculum Completion'!$EM$4:$EM$38,'Status of Curriculum Completion'!$EC$4:$EC$38,"CIC MEA",'Status of Curriculum Completion'!$EG$4:$EG$38,"Complete")+SUMIFS('Status of Curriculum Completion'!$EZ$4:$EZ$38,'Status of Curriculum Completion'!$EP$4:$EP$38,"CIC MEA",'Status of Curriculum Completion'!$ET$4:$ET$38,"Complete")</f>
        <v>0</v>
      </c>
      <c r="AL103" s="62">
        <f>SUMIFS('Status of Curriculum Completion'!$DZ$4:$DZ$38,'Status of Curriculum Completion'!$DP$4:$DP$38,"CIC MEA",'Status of Curriculum Completion'!$DT$4:$DT$38,"In Progress")+SUMIFS('Status of Curriculum Completion'!$EM$4:$EM$38,'Status of Curriculum Completion'!$EC$4:$EC$38,"CIC MEA",'Status of Curriculum Completion'!$EG$4:$EG$38,"In Progress")+SUMIFS('Status of Curriculum Completion'!$EZ$4:$EZ$38,'Status of Curriculum Completion'!$EP$4:$EP$38,"CIC MEA",'Status of Curriculum Completion'!$ET$4:$ET$38,"In Progress")</f>
        <v>0</v>
      </c>
      <c r="AM103" s="62">
        <f>SUMIFS('Status of Curriculum Completion'!$DZ$4:$DZ$38,'Status of Curriculum Completion'!$DP$4:$DP$38,"CIC MEA",'Status of Curriculum Completion'!$DT$4:$DT$38,"Planned")+SUMIFS('Status of Curriculum Completion'!$EM$4:$EM$38,'Status of Curriculum Completion'!$EC$4:$EC$38,"CIC MEA",'Status of Curriculum Completion'!$EG$4:$EG$38,"Planned")+SUMIFS('Status of Curriculum Completion'!$EZ$4:$EZ$38,'Status of Curriculum Completion'!$EP$4:$EP$38,"CIC MEA",'Status of Curriculum Completion'!$ET$4:$ET$38,"Planned")</f>
        <v>0</v>
      </c>
      <c r="AN103" s="62">
        <f>SUMIFS('Status of Curriculum Completion'!$DZ$4:$DZ$38,'Status of Curriculum Completion'!$DP$4:$DP$38,"CIC MEA",'Status of Curriculum Completion'!$DT$4:$DT$38,"Tentative")+SUMIFS('Status of Curriculum Completion'!$EM$4:$EM$38,'Status of Curriculum Completion'!$EC$4:$EC$38,"CIC MEA",'Status of Curriculum Completion'!$EG$4:$EG$38,"Tentative")+SUMIFS('Status of Curriculum Completion'!$EZ$4:$EZ$38,'Status of Curriculum Completion'!$EP$4:$EP$38,"CIC MEA",'Status of Curriculum Completion'!$ET$4:$ET$38,"Tentative")</f>
        <v>0</v>
      </c>
      <c r="AO103" s="62">
        <f>SUMIFS('Status of Curriculum Completion'!$DZ$4:$DZ$38,'Status of Curriculum Completion'!$DP$4:$DP$38,"CIC MEA",'Status of Curriculum Completion'!$DU$4:$DU$38,"Complete")+SUMIFS('Status of Curriculum Completion'!$EM$4:$EM$38,'Status of Curriculum Completion'!$EC$4:$EC$38,"CIC MEA",'Status of Curriculum Completion'!$EH$4:$EH$38,"Complete")+SUMIFS('Status of Curriculum Completion'!$EZ$4:$EZ$38,'Status of Curriculum Completion'!$EP$4:$EP$38,"CIC MEA",'Status of Curriculum Completion'!$EU$4:$EU$38,"Complete")</f>
        <v>0</v>
      </c>
      <c r="AP103" s="62">
        <f>SUMIFS('Status of Curriculum Completion'!$DZ$4:$DZ$38,'Status of Curriculum Completion'!$DP$4:$DP$38,"CIC MEA",'Status of Curriculum Completion'!$DU$4:$DU$38,"In Progress")+SUMIFS('Status of Curriculum Completion'!$EM$4:$EM$38,'Status of Curriculum Completion'!$EC$4:$EC$38,"CIC MEA",'Status of Curriculum Completion'!$EH$4:$EH$38,"In Progress")+SUMIFS('Status of Curriculum Completion'!$EZ$4:$EZ$38,'Status of Curriculum Completion'!$EP$4:$EP$38,"CIC MEA",'Status of Curriculum Completion'!$EU$4:$EU$38,"In Progress")</f>
        <v>0</v>
      </c>
      <c r="AQ103" s="62">
        <f>SUMIFS('Status of Curriculum Completion'!$DZ$4:$DZ$38,'Status of Curriculum Completion'!$DP$4:$DP$38,"CIC MEA",'Status of Curriculum Completion'!$DU$4:$DU$38,"Planned")+SUMIFS('Status of Curriculum Completion'!$EM$4:$EM$38,'Status of Curriculum Completion'!$EC$4:$EC$38,"CIC MEA",'Status of Curriculum Completion'!$EH$4:$EH$38,"Planned")+SUMIFS('Status of Curriculum Completion'!$EZ$4:$EZ$38,'Status of Curriculum Completion'!$EP$4:$EP$38,"CIC MEA",'Status of Curriculum Completion'!$EU$4:$EU$38,"Planned")</f>
        <v>0</v>
      </c>
      <c r="AR103" s="62">
        <f>SUMIFS('Status of Curriculum Completion'!$DZ$4:$DZ$38,'Status of Curriculum Completion'!$DP$4:$DP$38,"CIC MEA",'Status of Curriculum Completion'!$DU$4:$DU$38,"Tentative")+SUMIFS('Status of Curriculum Completion'!$EM$4:$EM$38,'Status of Curriculum Completion'!$EC$4:$EC$38,"CIC MEA",'Status of Curriculum Completion'!$EH$4:$EH$38,"Tentative")+SUMIFS('Status of Curriculum Completion'!$EZ$4:$EZ$38,'Status of Curriculum Completion'!$EP$4:$EP$38,"CIC MEA",'Status of Curriculum Completion'!$EU$4:$EU$38,"Tentative")</f>
        <v>0</v>
      </c>
      <c r="AS103" s="62">
        <f>SUMIFS('Status of Curriculum Completion'!$DZ$4:$DZ$38,'Status of Curriculum Completion'!$DP$4:$DP$38,"CIC MEA",'Status of Curriculum Completion'!$DV$4:$DV$38,"Complete")+SUMIFS('Status of Curriculum Completion'!$EM$4:$EM$38,'Status of Curriculum Completion'!$EC$4:$EC$38,"CIC MEA",'Status of Curriculum Completion'!$EI$4:$EI$38,"Complete")+SUMIFS('Status of Curriculum Completion'!$EZ$4:$EZ$38,'Status of Curriculum Completion'!$EP$4:$EP$38,"CIC MEA",'Status of Curriculum Completion'!$EV$4:$EV$38,"Complete")</f>
        <v>0</v>
      </c>
      <c r="AT103" s="62">
        <f>SUMIFS('Status of Curriculum Completion'!$DZ$4:$DZ$38,'Status of Curriculum Completion'!$DP$4:$DP$38,"CIC MEA",'Status of Curriculum Completion'!$DV$4:$DV$38,"In Progress")+SUMIFS('Status of Curriculum Completion'!$EM$4:$EM$38,'Status of Curriculum Completion'!$EC$4:$EC$38,"CIC MEA",'Status of Curriculum Completion'!$EI$4:$EI$38,"In Progress")+SUMIFS('Status of Curriculum Completion'!$EZ$4:$EZ$38,'Status of Curriculum Completion'!$EP$4:$EP$38,"CIC MEA",'Status of Curriculum Completion'!$EV$4:$EV$38,"In Progress")</f>
        <v>0</v>
      </c>
      <c r="AU103" s="62">
        <f>SUMIFS('Status of Curriculum Completion'!$DZ$4:$DZ$38,'Status of Curriculum Completion'!$DP$4:$DP$38,"CIC MEA",'Status of Curriculum Completion'!$DV$4:$DV$38,"Planned")+SUMIFS('Status of Curriculum Completion'!$EM$4:$EM$38,'Status of Curriculum Completion'!$EC$4:$EC$38,"CIC MEA",'Status of Curriculum Completion'!$EI$4:$EI$38,"Planned")+SUMIFS('Status of Curriculum Completion'!$EZ$4:$EZ$38,'Status of Curriculum Completion'!$EP$4:$EP$38,"CIC MEA",'Status of Curriculum Completion'!$EV$4:$EV$38,"Planned")</f>
        <v>0</v>
      </c>
      <c r="AV103" s="62">
        <f>SUMIFS('Status of Curriculum Completion'!$DZ$4:$DZ$38,'Status of Curriculum Completion'!$DP$4:$DP$38,"CIC MEA",'Status of Curriculum Completion'!$DV$4:$DV$38,"Tentative")+SUMIFS('Status of Curriculum Completion'!$EM$4:$EM$38,'Status of Curriculum Completion'!$EC$4:$EC$38,"CIC MEA",'Status of Curriculum Completion'!$EI$4:$EI$38,"Tentative")+SUMIFS('Status of Curriculum Completion'!$EZ$4:$EZ$38,'Status of Curriculum Completion'!$EP$4:$EP$38,"CIC MEA",'Status of Curriculum Completion'!$EV$4:$EV$38,"Tentative")</f>
        <v>0</v>
      </c>
    </row>
    <row r="104" spans="3:48" ht="56.25" hidden="1" customHeight="1" thickBot="1">
      <c r="C104" s="63" t="s">
        <v>1631</v>
      </c>
      <c r="D104" s="59">
        <f>SUMIFS('Status of Curriculum Completion'!$M$4:$M$38,'Status of Curriculum Completion'!$C$4:$C$38,"CIC NA",'Status of Curriculum Completion'!$G$4:$G$38,"Complete")+SUMIFS('Status of Curriculum Completion'!$Z$4:$Z$38,'Status of Curriculum Completion'!$P$4:$P$38,"CIC NA",'Status of Curriculum Completion'!$T$4:$T$38,"Complete")+SUMIFS('Status of Curriculum Completion'!$AM$4:$AM$38,'Status of Curriculum Completion'!$AC$4:$AC$38,"CIC NA",'Status of Curriculum Completion'!$AG$4:$AG$38,"Complete")</f>
        <v>60</v>
      </c>
      <c r="E104" s="59">
        <f>SUMIFS('Status of Curriculum Completion'!$M$4:$M$38,'Status of Curriculum Completion'!$C$4:$C$38,"CIC NA",'Status of Curriculum Completion'!$G$4:$G$38,"In progress")+SUMIFS('Status of Curriculum Completion'!$Z$4:$Z$38,'Status of Curriculum Completion'!$P$4:$P$38,"CIC NA",'Status of Curriculum Completion'!$T$4:$T$38,"In progress")+SUMIFS('Status of Curriculum Completion'!$AM$4:$AM$38,'Status of Curriculum Completion'!$AC$4:$AC$38,"CIC NA",'Status of Curriculum Completion'!$AG$4:$AG$38,"In progress")</f>
        <v>0</v>
      </c>
      <c r="F104" s="59">
        <f>SUMIFS('Status of Curriculum Completion'!$M$4:$M$38,'Status of Curriculum Completion'!$C$4:$C$38,"CIC NA",'Status of Curriculum Completion'!$G$4:$G$38,"Planned")+SUMIFS('Status of Curriculum Completion'!$Z$4:$Z$38,'Status of Curriculum Completion'!$P$4:$P$38,"CIC NA",'Status of Curriculum Completion'!$T$4:$T$38,"Planned")+SUMIFS('Status of Curriculum Completion'!$AM$4:$AM$38,'Status of Curriculum Completion'!$AC$4:$AC$38,"CIC NA",'Status of Curriculum Completion'!$AG$4:$AG$38,"Planned")</f>
        <v>0</v>
      </c>
      <c r="G104" s="59">
        <f>SUMIFS('Status of Curriculum Completion'!$M$4:$M$38,'Status of Curriculum Completion'!$C$4:$C$38,"CIC NA",'Status of Curriculum Completion'!$H$4:$H$38,"Complete")+SUMIFS('Status of Curriculum Completion'!$Z$4:$Z$38,'Status of Curriculum Completion'!$P$4:$P$38,"CIC NA",'Status of Curriculum Completion'!$U$4:$U$38,"Complete")+SUMIFS('Status of Curriculum Completion'!$AM$4:$AM$38,'Status of Curriculum Completion'!$AC$4:$AC$38,"CIC NA",'Status of Curriculum Completion'!$AH$4:$AH$38,"Complete")</f>
        <v>13</v>
      </c>
      <c r="H104" s="59">
        <f>SUMIFS('Status of Curriculum Completion'!$M$4:$M$38,'Status of Curriculum Completion'!$C$4:$C$38,"CIC NA",'Status of Curriculum Completion'!$H$4:$H$38,"In Progress")+SUMIFS('Status of Curriculum Completion'!$Z$4:$Z$38,'Status of Curriculum Completion'!$P$4:$P$38,"CIC NA",'Status of Curriculum Completion'!$U$4:$U$38,"In Progress")+SUMIFS('Status of Curriculum Completion'!$AM$4:$AM$38,'Status of Curriculum Completion'!$AC$4:$AC$38,"CIC NA",'Status of Curriculum Completion'!$AH$4:$AH$38,"In Progress")</f>
        <v>47</v>
      </c>
      <c r="I104" s="59">
        <f>SUMIFS('Status of Curriculum Completion'!$M$4:$M$38,'Status of Curriculum Completion'!$C$4:$C$38,"CIC NA",'Status of Curriculum Completion'!$H$4:$H$38,"Planned")+SUMIFS('Status of Curriculum Completion'!$Z$4:$Z$38,'Status of Curriculum Completion'!$P$4:$P$38,"CIC NA",'Status of Curriculum Completion'!$U$4:$U$38,"Planned")+SUMIFS('Status of Curriculum Completion'!$AM$4:$AM$38,'Status of Curriculum Completion'!$AC$4:$AC$38,"CIC NA",'Status of Curriculum Completion'!$AH$4:$AH$38,"Planned")</f>
        <v>0</v>
      </c>
      <c r="J104" s="59">
        <f>SUMIFS('Status of Curriculum Completion'!$M$4:$M$38,'Status of Curriculum Completion'!$C$4:$C$38,"CIC NA",'Status of Curriculum Completion'!$I$4:$I$38,"Complete")+SUMIFS('Status of Curriculum Completion'!$Z$4:$Z$38,'Status of Curriculum Completion'!$P$4:$P$38,"CIC NA",'Status of Curriculum Completion'!$V$4:$V$38,"Complete")+SUMIFS('Status of Curriculum Completion'!$AM$4:$AM$38,'Status of Curriculum Completion'!$AC$4:$AC$38,"CIC NA",'Status of Curriculum Completion'!$AI$4:$AI$38,"Complete")</f>
        <v>60</v>
      </c>
      <c r="K104" s="59">
        <f>SUMIFS('Status of Curriculum Completion'!$M$4:$M$38,'Status of Curriculum Completion'!$C$4:$C$38,"CIC NA",'Status of Curriculum Completion'!$I$4:$I$38,"In Progress")+SUMIFS('Status of Curriculum Completion'!$Z$4:$Z$38,'Status of Curriculum Completion'!$P$4:$P$38,"CIC NA",'Status of Curriculum Completion'!$V$4:$V$38,"In Progress")+SUMIFS('Status of Curriculum Completion'!$AM$4:$AM$38,'Status of Curriculum Completion'!$AC$4:$AC$38,"CIC NA",'Status of Curriculum Completion'!$AI$4:$AI$38,"In Progress")</f>
        <v>0</v>
      </c>
      <c r="L104" s="59">
        <f>SUMIFS('Status of Curriculum Completion'!$M$4:$M$38,'Status of Curriculum Completion'!$C$4:$C$38,"CIC NA",'Status of Curriculum Completion'!$I$4:$I$38,"Planned")+SUMIFS('Status of Curriculum Completion'!$Z$4:$Z$38,'Status of Curriculum Completion'!$P$4:$P$38,"CIC NA",'Status of Curriculum Completion'!$V$4:$V$38,"Planned")+SUMIFS('Status of Curriculum Completion'!$AM$4:$AM$38,'Status of Curriculum Completion'!$AC$4:$AC$38,"CIC NA",'Status of Curriculum Completion'!$AI$4:$AI$38,"Planned")</f>
        <v>0</v>
      </c>
      <c r="M104" s="60">
        <f>SUMIFS('Status of Curriculum Completion'!$AZ$4:$AZ$38,'Status of Curriculum Completion'!$AP$4:$AP$38,"CIC NA",'Status of Curriculum Completion'!$AT$4:$AT$38,"Complete")+SUMIFS('Status of Curriculum Completion'!$BM$4:$BM$38,'Status of Curriculum Completion'!$BC$4:$BC$38,"CIC NA",'Status of Curriculum Completion'!$BG$4:$BG$38,"Complete")+SUMIFS('Status of Curriculum Completion'!$BZ$4:$BZ$38,'Status of Curriculum Completion'!$BP$4:$BP$38,"CIC NA",'Status of Curriculum Completion'!$BT$4:$BT$38,"Complete")</f>
        <v>17</v>
      </c>
      <c r="N104" s="60">
        <f>SUMIFS('Status of Curriculum Completion'!$AZ$4:$AZ$38,'Status of Curriculum Completion'!$AP$4:$AP$38,"CIC NA",'Status of Curriculum Completion'!$AT$4:$AT$38,"In Progress")+SUMIFS('Status of Curriculum Completion'!$BM$4:$BM$38,'Status of Curriculum Completion'!$BC$4:$BC$38,"CIC NA",'Status of Curriculum Completion'!$BG$4:$BG$38,"In Progress")+SUMIFS('Status of Curriculum Completion'!$BZ$4:$BZ$38,'Status of Curriculum Completion'!$BP$4:$BP$38,"CIC NA",'Status of Curriculum Completion'!$BT$4:$BT$38,"In Progress")</f>
        <v>0</v>
      </c>
      <c r="O104" s="60">
        <f>SUMIFS('Status of Curriculum Completion'!$AZ$4:$AZ$38,'Status of Curriculum Completion'!$AP$4:$AP$38,"CIC NA",'Status of Curriculum Completion'!$AT$4:$AT$38,"Planned")+SUMIFS('Status of Curriculum Completion'!$BM$4:$BM$38,'Status of Curriculum Completion'!$BC$4:$BC$38,"CIC NA",'Status of Curriculum Completion'!$BG$4:$BG$38,"Planned")+SUMIFS('Status of Curriculum Completion'!$BZ$4:$BZ$38,'Status of Curriculum Completion'!$BP$4:$BP$38,"CIC NA",'Status of Curriculum Completion'!$BT$4:$BT$38,"Planned")</f>
        <v>0</v>
      </c>
      <c r="P104" s="60">
        <f>SUMIFS('Status of Curriculum Completion'!$AZ$4:$AZ$38,'Status of Curriculum Completion'!$AP$4:$AP$38,"CIC NA",'Status of Curriculum Completion'!$AU$4:$AU$38,"Complete")+SUMIFS('Status of Curriculum Completion'!$BM$4:$BM$38,'Status of Curriculum Completion'!$BC$4:$BC$38,"CIC NA",'Status of Curriculum Completion'!$BH$4:$BH$38,"Complete")+SUMIFS('Status of Curriculum Completion'!$BZ$4:$BZ$38,'Status of Curriculum Completion'!$BP$4:$BP$38,"CIC NA",'Status of Curriculum Completion'!$BU$4:$BU$38,"Complete")</f>
        <v>17</v>
      </c>
      <c r="Q104" s="60">
        <f>SUMIFS('Status of Curriculum Completion'!$AZ$4:$AZ$38,'Status of Curriculum Completion'!$AP$4:$AP$38,"CIC NA",'Status of Curriculum Completion'!$AU$4:$AU$38,"In Progress")+SUMIFS('Status of Curriculum Completion'!$BM$4:$BM$38,'Status of Curriculum Completion'!$BC$4:$BC$38,"CIC NA",'Status of Curriculum Completion'!$BH$4:$BH$38,"In Progress")+SUMIFS('Status of Curriculum Completion'!$BZ$4:$BZ$38,'Status of Curriculum Completion'!$BP$4:$BP$38,"CIC NA",'Status of Curriculum Completion'!$BU$4:$BU$38,"In Progress")</f>
        <v>0</v>
      </c>
      <c r="R104" s="60">
        <f>SUMIFS('Status of Curriculum Completion'!$AZ$4:$AZ$38,'Status of Curriculum Completion'!$AP$4:$AP$38,"CIC NA",'Status of Curriculum Completion'!$AU$4:$AU$38,"Planned")+SUMIFS('Status of Curriculum Completion'!$BM$4:$BM$38,'Status of Curriculum Completion'!$BC$4:$BC$38,"CIC NA",'Status of Curriculum Completion'!$BH$4:$BH$38,"Planned")+SUMIFS('Status of Curriculum Completion'!$BZ$4:$BZ$38,'Status of Curriculum Completion'!$BP$4:$BP$38,"CIC NA",'Status of Curriculum Completion'!$BU$4:$BU$38,"Planned")</f>
        <v>0</v>
      </c>
      <c r="S104" s="60">
        <f>SUMIFS('Status of Curriculum Completion'!$AZ$4:$AZ$38,'Status of Curriculum Completion'!$AP$4:$AP$38,"CIC NA",'Status of Curriculum Completion'!$AV$4:$AV$38,"Complete")+SUMIFS('Status of Curriculum Completion'!$BM$4:$BM$38,'Status of Curriculum Completion'!$BC$4:$BC$38,"CIC NA",'Status of Curriculum Completion'!$BI$4:$BI$38,"Complete")+SUMIFS('Status of Curriculum Completion'!$BZ$4:$BZ$38,'Status of Curriculum Completion'!$BP$4:$BP$38,"CIC NA",'Status of Curriculum Completion'!$BV$4:$BV$38,"Complete")</f>
        <v>17</v>
      </c>
      <c r="T104" s="60">
        <f>SUMIFS('Status of Curriculum Completion'!$AZ$4:$AZ$38,'Status of Curriculum Completion'!$AP$4:$AP$38,"CIC NA",'Status of Curriculum Completion'!$AV$4:$AV$38,"In Progress")+SUMIFS('Status of Curriculum Completion'!$BM$4:$BM$38,'Status of Curriculum Completion'!$BC$4:$BC$38,"CIC NA",'Status of Curriculum Completion'!$BI$4:$BI$38,"In Progress")+SUMIFS('Status of Curriculum Completion'!$BZ$4:$BZ$38,'Status of Curriculum Completion'!$BP$4:$BP$38,"CIC NA",'Status of Curriculum Completion'!$BV$4:$BV$38,"In Progress")</f>
        <v>0</v>
      </c>
      <c r="U104" s="60">
        <f>SUMIFS('Status of Curriculum Completion'!$AZ$4:$AZ$38,'Status of Curriculum Completion'!$AP$4:$AP$38,"CIC NA",'Status of Curriculum Completion'!$AV$4:$AV$38,"Planned")+SUMIFS('Status of Curriculum Completion'!$BM$4:$BM$38,'Status of Curriculum Completion'!$BC$4:$BC$38,"CIC NA",'Status of Curriculum Completion'!$BI$4:$BI$38,"Planned")+SUMIFS('Status of Curriculum Completion'!$BZ$4:$BZ$38,'Status of Curriculum Completion'!$BP$4:$BP$38,"CIC NA",'Status of Curriculum Completion'!$BV$4:$BV$38,"Planned")</f>
        <v>0</v>
      </c>
      <c r="V104" s="58"/>
      <c r="W104"/>
      <c r="X104" s="63" t="s">
        <v>1631</v>
      </c>
      <c r="Y104" s="61">
        <f>SUMIFS('Status of Curriculum Completion'!$CM$4:$CM$38,'Status of Curriculum Completion'!$CC$4:$CC$38,"CIC NA",'Status of Curriculum Completion'!$CG$4:$CG$38,"Complete")+SUMIFS('Status of Curriculum Completion'!$CZ$4:$CZ$38,'Status of Curriculum Completion'!$CP$4:$CP$38,"CIC NA",'Status of Curriculum Completion'!$CT$4:$CT$38,"Complete")+SUMIFS('Status of Curriculum Completion'!$DM$4:$DM$38,'Status of Curriculum Completion'!$DC$4:$DC$38,"CIC NA",'Status of Curriculum Completion'!$DG$4:$DG$38,"Complete")</f>
        <v>75</v>
      </c>
      <c r="Z104" s="61">
        <f>SUMIFS('Status of Curriculum Completion'!$CM$4:$CM$38,'Status of Curriculum Completion'!$CC$4:$CC$38,"CIC NA",'Status of Curriculum Completion'!$CG$4:$CG$38,"In Progress")+SUMIFS('Status of Curriculum Completion'!$CZ$4:$CZ$38,'Status of Curriculum Completion'!$CP$4:$CP$38,"CIC NA",'Status of Curriculum Completion'!$CT$4:$CT$38,"In Progress")+SUMIFS('Status of Curriculum Completion'!$DM$4:$DM$38,'Status of Curriculum Completion'!$DC$4:$DC$38,"CIC NA",'Status of Curriculum Completion'!$DG$4:$DG$38,"In Progress")</f>
        <v>0</v>
      </c>
      <c r="AA104" s="61">
        <f>SUMIFS('Status of Curriculum Completion'!$CM$4:$CM$38,'Status of Curriculum Completion'!$CC$4:$CC$38,"CIC NA",'Status of Curriculum Completion'!$CG$4:$CG$38,"Planned")+SUMIFS('Status of Curriculum Completion'!$CZ$4:$CZ$38,'Status of Curriculum Completion'!$CP$4:$CP$38,"CIC NA",'Status of Curriculum Completion'!$CT$4:$CT$38,"Planned")+SUMIFS('Status of Curriculum Completion'!$DM$4:$DM$38,'Status of Curriculum Completion'!$DC$4:$DC$38,"CIC NA",'Status of Curriculum Completion'!$DG$4:$DG$38,"Planned")</f>
        <v>0</v>
      </c>
      <c r="AB104" s="61">
        <f>SUMIFS('Status of Curriculum Completion'!$CM$4:$CM$38,'Status of Curriculum Completion'!$CC$4:$CC$38,"CIC NA",'Status of Curriculum Completion'!$CG$4:$CG$38,"Tentative")+SUMIFS('Status of Curriculum Completion'!$CZ$4:$CZ$38,'Status of Curriculum Completion'!$CP$4:$CP$38,"CIC NA",'Status of Curriculum Completion'!$CT$4:$CT$38,"Tentative")+SUMIFS('Status of Curriculum Completion'!$DM$4:$DM$38,'Status of Curriculum Completion'!$DC$4:$DC$38,"CIC NA",'Status of Curriculum Completion'!$DG$4:$DG$38,"Tentative")</f>
        <v>0</v>
      </c>
      <c r="AC104" s="61">
        <f>SUMIFS('Status of Curriculum Completion'!$CM$4:$CM$38,'Status of Curriculum Completion'!$CC$4:$CC$38,"CIC NA",'Status of Curriculum Completion'!$CH$4:$CH$38,"Complete")+SUMIFS('Status of Curriculum Completion'!$CZ$4:$CZ$38,'Status of Curriculum Completion'!$CP$4:$CP$38,"CIC NA",'Status of Curriculum Completion'!$CU$4:$CU$38,"Complete")+SUMIFS('Status of Curriculum Completion'!$DM$4:$DM$38,'Status of Curriculum Completion'!$DC$4:$DC$38,"CIC NA",'Status of Curriculum Completion'!$DH$4:$DH$38,"Complete")</f>
        <v>75</v>
      </c>
      <c r="AD104" s="61">
        <f>SUMIFS('Status of Curriculum Completion'!$CM$4:$CM$38,'Status of Curriculum Completion'!$CC$4:$CC$38,"CIC NA",'Status of Curriculum Completion'!$CH$4:$CH$38,"In Progress")+SUMIFS('Status of Curriculum Completion'!$CZ$4:$CZ$38,'Status of Curriculum Completion'!$CP$4:$CP$38,"CIC NA",'Status of Curriculum Completion'!$CU$4:$CU$38,"In Progress")+SUMIFS('Status of Curriculum Completion'!$DM$4:$DM$38,'Status of Curriculum Completion'!$DC$4:$DC$38,"CIC NA",'Status of Curriculum Completion'!$DH$4:$DH$38,"In Progress")</f>
        <v>0</v>
      </c>
      <c r="AE104" s="61">
        <f>SUMIFS('Status of Curriculum Completion'!$CM$4:$CM$38,'Status of Curriculum Completion'!$CC$4:$CC$38,"CIC NA",'Status of Curriculum Completion'!$CH$4:$CH$38,"Planned")+SUMIFS('Status of Curriculum Completion'!$CZ$4:$CZ$38,'Status of Curriculum Completion'!$CP$4:$CP$38,"CIC NA",'Status of Curriculum Completion'!$CU$4:$CU$38,"Planned")+SUMIFS('Status of Curriculum Completion'!$DM$4:$DM$38,'Status of Curriculum Completion'!$DC$4:$DC$38,"CIC NA",'Status of Curriculum Completion'!$DH$4:$DH$38,"Planned")</f>
        <v>0</v>
      </c>
      <c r="AF104" s="61">
        <f>SUMIFS('Status of Curriculum Completion'!$CM$4:$CM$38,'Status of Curriculum Completion'!$CC$4:$CC$38,"CIC NA",'Status of Curriculum Completion'!$CH$4:$CH$38,"Tentative")+SUMIFS('Status of Curriculum Completion'!$CZ$4:$CZ$38,'Status of Curriculum Completion'!$CP$4:$CP$38,"CIC NA",'Status of Curriculum Completion'!$CU$4:$CU$38,"Tentative")+SUMIFS('Status of Curriculum Completion'!$DM$4:$DM$38,'Status of Curriculum Completion'!$DC$4:$DC$38,"CIC NA",'Status of Curriculum Completion'!$DH$4:$DH$38,"Tentative")</f>
        <v>0</v>
      </c>
      <c r="AG104" s="61">
        <f>SUMIFS('Status of Curriculum Completion'!$CM$4:$CM$38,'Status of Curriculum Completion'!$CC$4:$CC$38,"CIC NA",'Status of Curriculum Completion'!$CI$4:$CI$38,"Complete")+SUMIFS('Status of Curriculum Completion'!$CZ$4:$CZ$38,'Status of Curriculum Completion'!$CP$4:$CP$38,"CIC NA",'Status of Curriculum Completion'!$CV$4:$CV$38,"Complete")+SUMIFS('Status of Curriculum Completion'!$DM$4:$DM$38,'Status of Curriculum Completion'!$DC$4:$DC$38,"CIC NA",'Status of Curriculum Completion'!$DI$4:$DI$38,"Complete")</f>
        <v>39</v>
      </c>
      <c r="AH104" s="61">
        <f>SUMIFS('Status of Curriculum Completion'!$CM$4:$CM$38,'Status of Curriculum Completion'!$CC$4:$CC$38,"CIC NA",'Status of Curriculum Completion'!$CI$4:$CI$38,"In Progress")+SUMIFS('Status of Curriculum Completion'!$CZ$4:$CZ$38,'Status of Curriculum Completion'!$CP$4:$CP$38,"CIC NA",'Status of Curriculum Completion'!$CV$4:$CV$38,"In Progress")+SUMIFS('Status of Curriculum Completion'!$DM$4:$DM$38,'Status of Curriculum Completion'!$DC$4:$DC$38,"CIC NA",'Status of Curriculum Completion'!$DI$4:$DI$38,"In Progress")</f>
        <v>36</v>
      </c>
      <c r="AI104" s="61">
        <f>SUMIFS('Status of Curriculum Completion'!$CM$4:$CM$38,'Status of Curriculum Completion'!$CC$4:$CC$38,"CIC NA",'Status of Curriculum Completion'!$CI$4:$CI$38,"Planned")+SUMIFS('Status of Curriculum Completion'!$CZ$4:$CZ$38,'Status of Curriculum Completion'!$CP$4:$CP$38,"CIC NA",'Status of Curriculum Completion'!$CV$4:$CV$38,"Planned")+SUMIFS('Status of Curriculum Completion'!$DM$4:$DM$38,'Status of Curriculum Completion'!$DC$4:$DC$38,"CIC NA",'Status of Curriculum Completion'!$DI$4:$DI$38,"Planned")</f>
        <v>0</v>
      </c>
      <c r="AJ104" s="61">
        <f>SUMIFS('Status of Curriculum Completion'!$CM$4:$CM$38,'Status of Curriculum Completion'!$CC$4:$CC$38,"CIC NA",'Status of Curriculum Completion'!$CI$4:$CI$38,"Tentative")+SUMIFS('Status of Curriculum Completion'!$CZ$4:$CZ$38,'Status of Curriculum Completion'!$CP$4:$CP$38,"CIC NA",'Status of Curriculum Completion'!$CV$4:$CV$38,"Tentative")+SUMIFS('Status of Curriculum Completion'!$DM$4:$DM$38,'Status of Curriculum Completion'!$DC$4:$DC$38,"CIC NA",'Status of Curriculum Completion'!$DI$4:$DI$38,"Tentative")</f>
        <v>0</v>
      </c>
      <c r="AK104" s="62">
        <f>SUMIFS('Status of Curriculum Completion'!$DZ$4:$DZ$38,'Status of Curriculum Completion'!$DP$4:$DP$38,"CIC NA",'Status of Curriculum Completion'!$DT$4:$DT$38,"Complete")+SUMIFS('Status of Curriculum Completion'!$EM$4:$EM$38,'Status of Curriculum Completion'!$EC$4:$EC$38,"CIC NA",'Status of Curriculum Completion'!$EG$4:$EG$38,"Complete")+SUMIFS('Status of Curriculum Completion'!$EZ$4:$EZ$38,'Status of Curriculum Completion'!$EP$4:$EP$38,"CIC NA",'Status of Curriculum Completion'!$ET$4:$ET$38,"Complete")</f>
        <v>0</v>
      </c>
      <c r="AL104" s="62">
        <f>SUMIFS('Status of Curriculum Completion'!$DZ$4:$DZ$38,'Status of Curriculum Completion'!$DP$4:$DP$38,"CIC NA",'Status of Curriculum Completion'!$DT$4:$DT$38,"In Progress")+SUMIFS('Status of Curriculum Completion'!$EM$4:$EM$38,'Status of Curriculum Completion'!$EC$4:$EC$38,"CIC NA",'Status of Curriculum Completion'!$EG$4:$EG$38,"In Progress")+SUMIFS('Status of Curriculum Completion'!$EZ$4:$EZ$38,'Status of Curriculum Completion'!$EP$4:$EP$38,"CIC NA",'Status of Curriculum Completion'!$ET$4:$ET$38,"In Progress")</f>
        <v>0</v>
      </c>
      <c r="AM104" s="62">
        <f>SUMIFS('Status of Curriculum Completion'!$DZ$4:$DZ$38,'Status of Curriculum Completion'!$DP$4:$DP$38,"CIC NA",'Status of Curriculum Completion'!$DT$4:$DT$38,"Planned")+SUMIFS('Status of Curriculum Completion'!$EM$4:$EM$38,'Status of Curriculum Completion'!$EC$4:$EC$38,"CIC NA",'Status of Curriculum Completion'!$EG$4:$EG$38,"Planned")+SUMIFS('Status of Curriculum Completion'!$EZ$4:$EZ$38,'Status of Curriculum Completion'!$EP$4:$EP$38,"CIC NA",'Status of Curriculum Completion'!$ET$4:$ET$38,"Planned")</f>
        <v>0</v>
      </c>
      <c r="AN104" s="62">
        <f>SUMIFS('Status of Curriculum Completion'!$DZ$4:$DZ$38,'Status of Curriculum Completion'!$DP$4:$DP$38,"CIC NA",'Status of Curriculum Completion'!$DT$4:$DT$38,"Tentative")+SUMIFS('Status of Curriculum Completion'!$EM$4:$EM$38,'Status of Curriculum Completion'!$EC$4:$EC$38,"CIC NA",'Status of Curriculum Completion'!$EG$4:$EG$38,"Tentative")+SUMIFS('Status of Curriculum Completion'!$EZ$4:$EZ$38,'Status of Curriculum Completion'!$EP$4:$EP$38,"CIC NA",'Status of Curriculum Completion'!$ET$4:$ET$38,"Tentative")</f>
        <v>0</v>
      </c>
      <c r="AO104" s="62">
        <f>SUMIFS('Status of Curriculum Completion'!$DZ$4:$DZ$38,'Status of Curriculum Completion'!$DP$4:$DP$38,"CIC NA",'Status of Curriculum Completion'!$DU$4:$DU$38,"Complete")+SUMIFS('Status of Curriculum Completion'!$EM$4:$EM$38,'Status of Curriculum Completion'!$EC$4:$EC$38,"CIC NA",'Status of Curriculum Completion'!$EH$4:$EH$38,"Complete")+SUMIFS('Status of Curriculum Completion'!$EZ$4:$EZ$38,'Status of Curriculum Completion'!$EP$4:$EP$38,"CIC NA",'Status of Curriculum Completion'!$EU$4:$EU$38,"Complete")</f>
        <v>0</v>
      </c>
      <c r="AP104" s="62">
        <f>SUMIFS('Status of Curriculum Completion'!$DZ$4:$DZ$38,'Status of Curriculum Completion'!$DP$4:$DP$38,"CIC NA",'Status of Curriculum Completion'!$DU$4:$DU$38,"In Progress")+SUMIFS('Status of Curriculum Completion'!$EM$4:$EM$38,'Status of Curriculum Completion'!$EC$4:$EC$38,"CIC NA",'Status of Curriculum Completion'!$EH$4:$EH$38,"In Progress")+SUMIFS('Status of Curriculum Completion'!$EZ$4:$EZ$38,'Status of Curriculum Completion'!$EP$4:$EP$38,"CIC NA",'Status of Curriculum Completion'!$EU$4:$EU$38,"In Progress")</f>
        <v>0</v>
      </c>
      <c r="AQ104" s="62">
        <f>SUMIFS('Status of Curriculum Completion'!$DZ$4:$DZ$38,'Status of Curriculum Completion'!$DP$4:$DP$38,"CIC NA",'Status of Curriculum Completion'!$DU$4:$DU$38,"Planned")+SUMIFS('Status of Curriculum Completion'!$EM$4:$EM$38,'Status of Curriculum Completion'!$EC$4:$EC$38,"CIC NA",'Status of Curriculum Completion'!$EH$4:$EH$38,"Planned")+SUMIFS('Status of Curriculum Completion'!$EZ$4:$EZ$38,'Status of Curriculum Completion'!$EP$4:$EP$38,"CIC NA",'Status of Curriculum Completion'!$EU$4:$EU$38,"Planned")</f>
        <v>0</v>
      </c>
      <c r="AR104" s="62">
        <f>SUMIFS('Status of Curriculum Completion'!$DZ$4:$DZ$38,'Status of Curriculum Completion'!$DP$4:$DP$38,"CIC NA",'Status of Curriculum Completion'!$DU$4:$DU$38,"Tentative")+SUMIFS('Status of Curriculum Completion'!$EM$4:$EM$38,'Status of Curriculum Completion'!$EC$4:$EC$38,"CIC NA",'Status of Curriculum Completion'!$EH$4:$EH$38,"Tentative")+SUMIFS('Status of Curriculum Completion'!$EZ$4:$EZ$38,'Status of Curriculum Completion'!$EP$4:$EP$38,"CIC NA",'Status of Curriculum Completion'!$EU$4:$EU$38,"Tentative")</f>
        <v>0</v>
      </c>
      <c r="AS104" s="62">
        <f>SUMIFS('Status of Curriculum Completion'!$DZ$4:$DZ$38,'Status of Curriculum Completion'!$DP$4:$DP$38,"CIC NA",'Status of Curriculum Completion'!$DV$4:$DV$38,"Complete")+SUMIFS('Status of Curriculum Completion'!$EM$4:$EM$38,'Status of Curriculum Completion'!$EC$4:$EC$38,"CIC NA",'Status of Curriculum Completion'!$EI$4:$EI$38,"Complete")+SUMIFS('Status of Curriculum Completion'!$EZ$4:$EZ$38,'Status of Curriculum Completion'!$EP$4:$EP$38,"CIC NA",'Status of Curriculum Completion'!$EV$4:$EV$38,"Complete")</f>
        <v>0</v>
      </c>
      <c r="AT104" s="62">
        <f>SUMIFS('Status of Curriculum Completion'!$DZ$4:$DZ$38,'Status of Curriculum Completion'!$DP$4:$DP$38,"CIC NA",'Status of Curriculum Completion'!$DV$4:$DV$38,"In Progress")+SUMIFS('Status of Curriculum Completion'!$EM$4:$EM$38,'Status of Curriculum Completion'!$EC$4:$EC$38,"CIC NA",'Status of Curriculum Completion'!$EI$4:$EI$38,"In Progress")+SUMIFS('Status of Curriculum Completion'!$EZ$4:$EZ$38,'Status of Curriculum Completion'!$EP$4:$EP$38,"CIC NA",'Status of Curriculum Completion'!$EV$4:$EV$38,"In Progress")</f>
        <v>0</v>
      </c>
      <c r="AU104" s="62">
        <f>SUMIFS('Status of Curriculum Completion'!$DZ$4:$DZ$38,'Status of Curriculum Completion'!$DP$4:$DP$38,"CIC NA",'Status of Curriculum Completion'!$DV$4:$DV$38,"Planned")+SUMIFS('Status of Curriculum Completion'!$EM$4:$EM$38,'Status of Curriculum Completion'!$EC$4:$EC$38,"CIC NA",'Status of Curriculum Completion'!$EI$4:$EI$38,"Planned")+SUMIFS('Status of Curriculum Completion'!$EZ$4:$EZ$38,'Status of Curriculum Completion'!$EP$4:$EP$38,"CIC NA",'Status of Curriculum Completion'!$EV$4:$EV$38,"Planned")</f>
        <v>0</v>
      </c>
      <c r="AV104" s="62">
        <f>SUMIFS('Status of Curriculum Completion'!$DZ$4:$DZ$38,'Status of Curriculum Completion'!$DP$4:$DP$38,"CIC NA",'Status of Curriculum Completion'!$DV$4:$DV$38,"Tentative")+SUMIFS('Status of Curriculum Completion'!$EM$4:$EM$38,'Status of Curriculum Completion'!$EC$4:$EC$38,"CIC NA",'Status of Curriculum Completion'!$EI$4:$EI$38,"Tentative")+SUMIFS('Status of Curriculum Completion'!$EZ$4:$EZ$38,'Status of Curriculum Completion'!$EP$4:$EP$38,"CIC NA",'Status of Curriculum Completion'!$EV$4:$EV$38,"Tentative")</f>
        <v>0</v>
      </c>
    </row>
    <row r="105" spans="3:48" ht="44" hidden="1" thickBot="1">
      <c r="C105" s="63" t="s">
        <v>1632</v>
      </c>
      <c r="D105" s="59">
        <f>SUMIFS('Status of Curriculum Completion'!$M$4:$M$38,'Status of Curriculum Completion'!$C$4:$C$38,"PH",'Status of Curriculum Completion'!$G$4:$G$38,"Complete")+SUMIFS('Status of Curriculum Completion'!$Z$4:$Z$38,'Status of Curriculum Completion'!$P$4:$P$38,"PH",'Status of Curriculum Completion'!$T$4:$T$38,"Complete")+SUMIFS('Status of Curriculum Completion'!$AM$4:$AM$38,'Status of Curriculum Completion'!$AC$4:$AC$38,"PH",'Status of Curriculum Completion'!$AG$4:$AG$38,"Complete")</f>
        <v>0</v>
      </c>
      <c r="E105" s="59">
        <f>SUMIFS('Status of Curriculum Completion'!$M$4:$M$38,'Status of Curriculum Completion'!$C$4:$C$38,"PH",'Status of Curriculum Completion'!$G$4:$G$38,"In progress")+SUMIFS('Status of Curriculum Completion'!$Z$4:$Z$38,'Status of Curriculum Completion'!$P$4:$P$38,"PH",'Status of Curriculum Completion'!$T$4:$T$38,"In progress")+SUMIFS('Status of Curriculum Completion'!$AM$4:$AM$38,'Status of Curriculum Completion'!$AC$4:$AC$38,"PH",'Status of Curriculum Completion'!$AG$4:$AG$38,"In progress")</f>
        <v>0</v>
      </c>
      <c r="F105" s="59">
        <f>SUMIFS('Status of Curriculum Completion'!$M$4:$M$38,'Status of Curriculum Completion'!$C$4:$C$38,"PH",'Status of Curriculum Completion'!$G$4:$G$38,"Planned")+SUMIFS('Status of Curriculum Completion'!$Z$4:$Z$38,'Status of Curriculum Completion'!$P$4:$P$38,"PH",'Status of Curriculum Completion'!$T$4:$T$38,"Planned")+SUMIFS('Status of Curriculum Completion'!$AM$4:$AM$38,'Status of Curriculum Completion'!$AC$4:$AC$38,"PH",'Status of Curriculum Completion'!$AG$4:$AG$38,"Planned")</f>
        <v>0</v>
      </c>
      <c r="G105" s="59">
        <f>SUMIFS('Status of Curriculum Completion'!$M$4:$M$38,'Status of Curriculum Completion'!$C$4:$C$38,"PH",'Status of Curriculum Completion'!$H$4:$H$38,"Complete")+SUMIFS('Status of Curriculum Completion'!$Z$4:$Z$38,'Status of Curriculum Completion'!$P$4:$P$38,"PH",'Status of Curriculum Completion'!$U$4:$U$38,"Complete")+SUMIFS('Status of Curriculum Completion'!$AM$4:$AM$38,'Status of Curriculum Completion'!$AC$4:$AC$38,"PH",'Status of Curriculum Completion'!$AH$4:$AH$38,"Complete")</f>
        <v>0</v>
      </c>
      <c r="H105" s="59">
        <f>SUMIFS('Status of Curriculum Completion'!$M$4:$M$38,'Status of Curriculum Completion'!$C$4:$C$38,"PH",'Status of Curriculum Completion'!$H$4:$H$38,"In Progress")+SUMIFS('Status of Curriculum Completion'!$Z$4:$Z$38,'Status of Curriculum Completion'!$P$4:$P$38,"PH",'Status of Curriculum Completion'!$U$4:$U$38,"In Progress")+SUMIFS('Status of Curriculum Completion'!$AM$4:$AM$38,'Status of Curriculum Completion'!$AC$4:$AC$38,"PH",'Status of Curriculum Completion'!$AH$4:$AH$38,"In Progress")</f>
        <v>0</v>
      </c>
      <c r="I105" s="59">
        <f>SUMIFS('Status of Curriculum Completion'!$M$4:$M$38,'Status of Curriculum Completion'!$C$4:$C$38,"PH",'Status of Curriculum Completion'!$H$4:$H$38,"Planned")+SUMIFS('Status of Curriculum Completion'!$Z$4:$Z$38,'Status of Curriculum Completion'!$P$4:$P$38,"PH",'Status of Curriculum Completion'!$U$4:$U$38,"Planned")+SUMIFS('Status of Curriculum Completion'!$AM$4:$AM$38,'Status of Curriculum Completion'!$AC$4:$AC$38,"PH",'Status of Curriculum Completion'!$AH$4:$AH$38,"Planned")</f>
        <v>0</v>
      </c>
      <c r="J105" s="59">
        <f>SUMIFS('Status of Curriculum Completion'!$M$4:$M$38,'Status of Curriculum Completion'!$C$4:$C$38,"PH",'Status of Curriculum Completion'!$I$4:$I$38,"Complete")+SUMIFS('Status of Curriculum Completion'!$Z$4:$Z$38,'Status of Curriculum Completion'!$P$4:$P$38,"PH",'Status of Curriculum Completion'!$V$4:$V$38,"Complete")+SUMIFS('Status of Curriculum Completion'!$AM$4:$AM$38,'Status of Curriculum Completion'!$AC$4:$AC$38,"PH",'Status of Curriculum Completion'!$AI$4:$AI$38,"Complete")</f>
        <v>0</v>
      </c>
      <c r="K105" s="59">
        <f>SUMIFS('Status of Curriculum Completion'!$M$4:$M$38,'Status of Curriculum Completion'!$C$4:$C$38,"PH",'Status of Curriculum Completion'!$I$4:$I$38,"In Progress")+SUMIFS('Status of Curriculum Completion'!$Z$4:$Z$38,'Status of Curriculum Completion'!$P$4:$P$38,"PH",'Status of Curriculum Completion'!$V$4:$V$38,"In Progress")+SUMIFS('Status of Curriculum Completion'!$AM$4:$AM$38,'Status of Curriculum Completion'!$AC$4:$AC$38,"PH",'Status of Curriculum Completion'!$AI$4:$AI$38,"In Progress")</f>
        <v>0</v>
      </c>
      <c r="L105" s="59">
        <f>SUMIFS('Status of Curriculum Completion'!$M$4:$M$38,'Status of Curriculum Completion'!$C$4:$C$38,"PH",'Status of Curriculum Completion'!$I$4:$I$38,"Planned")+SUMIFS('Status of Curriculum Completion'!$Z$4:$Z$38,'Status of Curriculum Completion'!$P$4:$P$38,"PH",'Status of Curriculum Completion'!$V$4:$V$38,"Planned")+SUMIFS('Status of Curriculum Completion'!$AM$4:$AM$38,'Status of Curriculum Completion'!$AC$4:$AC$38,"PH",'Status of Curriculum Completion'!$AI$4:$AI$38,"Planned")</f>
        <v>0</v>
      </c>
      <c r="M105" s="60">
        <f>SUMIFS('Status of Curriculum Completion'!$AZ$4:$AZ$38,'Status of Curriculum Completion'!$AP$4:$AP$38,"PH",'Status of Curriculum Completion'!$AT$4:$AT$38,"Complete")+SUMIFS('Status of Curriculum Completion'!$BM$4:$BM$38,'Status of Curriculum Completion'!$BC$4:$BC$38,"PH",'Status of Curriculum Completion'!$BG$4:$BG$38,"Complete")+SUMIFS('Status of Curriculum Completion'!$BZ$4:$BZ$38,'Status of Curriculum Completion'!$BP$4:$BP$38,"PH",'Status of Curriculum Completion'!$BT$4:$BT$38,"Complete")</f>
        <v>0</v>
      </c>
      <c r="N105" s="60">
        <f>SUMIFS('Status of Curriculum Completion'!$AZ$4:$AZ$38,'Status of Curriculum Completion'!$AP$4:$AP$38,"PH",'Status of Curriculum Completion'!$AT$4:$AT$38,"In Progress")+SUMIFS('Status of Curriculum Completion'!$BM$4:$BM$38,'Status of Curriculum Completion'!$BC$4:$BC$38,"PH",'Status of Curriculum Completion'!$BG$4:$BG$38,"In Progress")+SUMIFS('Status of Curriculum Completion'!$BZ$4:$BZ$38,'Status of Curriculum Completion'!$BP$4:$BP$38,"PH",'Status of Curriculum Completion'!$BT$4:$BT$38,"In Progress")</f>
        <v>0</v>
      </c>
      <c r="O105" s="60">
        <f>SUMIFS('Status of Curriculum Completion'!$AZ$4:$AZ$38,'Status of Curriculum Completion'!$AP$4:$AP$38,"PH",'Status of Curriculum Completion'!$AT$4:$AT$38,"Planned")+SUMIFS('Status of Curriculum Completion'!$BM$4:$BM$38,'Status of Curriculum Completion'!$BC$4:$BC$38,"PH",'Status of Curriculum Completion'!$BG$4:$BG$38,"Planned")+SUMIFS('Status of Curriculum Completion'!$BZ$4:$BZ$38,'Status of Curriculum Completion'!$BP$4:$BP$38,"PH",'Status of Curriculum Completion'!$BT$4:$BT$38,"Planned")</f>
        <v>0</v>
      </c>
      <c r="P105" s="60">
        <f>SUMIFS('Status of Curriculum Completion'!$AZ$4:$AZ$38,'Status of Curriculum Completion'!$AP$4:$AP$38,"PH",'Status of Curriculum Completion'!$AU$4:$AU$38,"Complete")+SUMIFS('Status of Curriculum Completion'!$BM$4:$BM$38,'Status of Curriculum Completion'!$BC$4:$BC$38,"PH",'Status of Curriculum Completion'!$BH$4:$BH$38,"Complete")+SUMIFS('Status of Curriculum Completion'!$BZ$4:$BZ$38,'Status of Curriculum Completion'!$BP$4:$BP$38,"PH",'Status of Curriculum Completion'!$BU$4:$BU$38,"Complete")</f>
        <v>0</v>
      </c>
      <c r="Q105" s="60">
        <f>SUMIFS('Status of Curriculum Completion'!$AZ$4:$AZ$38,'Status of Curriculum Completion'!$AP$4:$AP$38,"PH",'Status of Curriculum Completion'!$AU$4:$AU$38,"In Progress")+SUMIFS('Status of Curriculum Completion'!$BM$4:$BM$38,'Status of Curriculum Completion'!$BC$4:$BC$38,"PH",'Status of Curriculum Completion'!$BH$4:$BH$38,"In Progress")+SUMIFS('Status of Curriculum Completion'!$BZ$4:$BZ$38,'Status of Curriculum Completion'!$BP$4:$BP$38,"PH",'Status of Curriculum Completion'!$BU$4:$BU$38,"In Progress")</f>
        <v>0</v>
      </c>
      <c r="R105" s="60">
        <f>SUMIFS('Status of Curriculum Completion'!$AZ$4:$AZ$38,'Status of Curriculum Completion'!$AP$4:$AP$38,"PH",'Status of Curriculum Completion'!$AU$4:$AU$38,"Planned")+SUMIFS('Status of Curriculum Completion'!$BM$4:$BM$38,'Status of Curriculum Completion'!$BC$4:$BC$38,"PH",'Status of Curriculum Completion'!$BH$4:$BH$38,"Planned")+SUMIFS('Status of Curriculum Completion'!$BZ$4:$BZ$38,'Status of Curriculum Completion'!$BP$4:$BP$38,"PH",'Status of Curriculum Completion'!$BU$4:$BU$38,"Planned")</f>
        <v>0</v>
      </c>
      <c r="S105" s="60">
        <f>SUMIFS('Status of Curriculum Completion'!$AZ$4:$AZ$38,'Status of Curriculum Completion'!$AP$4:$AP$38,"PH",'Status of Curriculum Completion'!$AV$4:$AV$38,"Complete")+SUMIFS('Status of Curriculum Completion'!$BM$4:$BM$38,'Status of Curriculum Completion'!$BC$4:$BC$38,"PH",'Status of Curriculum Completion'!$BI$4:$BI$38,"Complete")+SUMIFS('Status of Curriculum Completion'!$BZ$4:$BZ$38,'Status of Curriculum Completion'!$BP$4:$BP$38,"PH",'Status of Curriculum Completion'!$BV$4:$BV$38,"Complete")</f>
        <v>0</v>
      </c>
      <c r="T105" s="60">
        <f>SUMIFS('Status of Curriculum Completion'!$AZ$4:$AZ$38,'Status of Curriculum Completion'!$AP$4:$AP$38,"PH",'Status of Curriculum Completion'!$AV$4:$AV$38,"In Progress")+SUMIFS('Status of Curriculum Completion'!$BM$4:$BM$38,'Status of Curriculum Completion'!$BC$4:$BC$38,"PH",'Status of Curriculum Completion'!$BI$4:$BI$38,"In Progress")+SUMIFS('Status of Curriculum Completion'!$BZ$4:$BZ$38,'Status of Curriculum Completion'!$BP$4:$BP$38,"PH",'Status of Curriculum Completion'!$BV$4:$BV$38,"In Progress")</f>
        <v>0</v>
      </c>
      <c r="U105" s="60">
        <f>SUMIFS('Status of Curriculum Completion'!$AZ$4:$AZ$38,'Status of Curriculum Completion'!$AP$4:$AP$38,"PH",'Status of Curriculum Completion'!$AV$4:$AV$38,"Planned")+SUMIFS('Status of Curriculum Completion'!$BM$4:$BM$38,'Status of Curriculum Completion'!$BC$4:$BC$38,"PH",'Status of Curriculum Completion'!$BI$4:$BI$38,"Planned")+SUMIFS('Status of Curriculum Completion'!$BZ$4:$BZ$38,'Status of Curriculum Completion'!$BP$4:$BP$38,"PH",'Status of Curriculum Completion'!$BV$4:$BV$38,"Planned")</f>
        <v>0</v>
      </c>
      <c r="V105"/>
      <c r="W105"/>
      <c r="X105" s="63" t="s">
        <v>1632</v>
      </c>
      <c r="Y105" s="61">
        <f>SUMIFS('Status of Curriculum Completion'!$CM$4:$CM$38,'Status of Curriculum Completion'!$CC$4:$CC$38,"PH",'Status of Curriculum Completion'!$CG$4:$CG$38,"Complete")+SUMIFS('Status of Curriculum Completion'!$CZ$4:$CZ$38,'Status of Curriculum Completion'!$CP$4:$CP$38,"PH",'Status of Curriculum Completion'!$CT$4:$CT$38,"Complete")+SUMIFS('Status of Curriculum Completion'!$DM$4:$DM$38,'Status of Curriculum Completion'!$DC$4:$DC$38,"PH",'Status of Curriculum Completion'!$DG$4:$DG$38,"Complete")</f>
        <v>17</v>
      </c>
      <c r="Z105" s="61">
        <f>SUMIFS('Status of Curriculum Completion'!$CM$4:$CM$38,'Status of Curriculum Completion'!$CC$4:$CC$38,"PH",'Status of Curriculum Completion'!$CG$4:$CG$38,"In Progress")+SUMIFS('Status of Curriculum Completion'!$CZ$4:$CZ$38,'Status of Curriculum Completion'!$CP$4:$CP$38,"PH",'Status of Curriculum Completion'!$CT$4:$CT$38,"In Progress")+SUMIFS('Status of Curriculum Completion'!$DM$4:$DM$38,'Status of Curriculum Completion'!$DC$4:$DC$38,"PH",'Status of Curriculum Completion'!$DG$4:$DG$38,"In Progress")</f>
        <v>0</v>
      </c>
      <c r="AA105" s="61">
        <f>SUMIFS('Status of Curriculum Completion'!$CM$4:$CM$38,'Status of Curriculum Completion'!$CC$4:$CC$38,"PH",'Status of Curriculum Completion'!$CG$4:$CG$38,"Planned")+SUMIFS('Status of Curriculum Completion'!$CZ$4:$CZ$38,'Status of Curriculum Completion'!$CP$4:$CP$38,"PH",'Status of Curriculum Completion'!$CT$4:$CT$38,"Planned")+SUMIFS('Status of Curriculum Completion'!$DM$4:$DM$38,'Status of Curriculum Completion'!$DC$4:$DC$38,"PH",'Status of Curriculum Completion'!$DG$4:$DG$38,"Planned")</f>
        <v>0</v>
      </c>
      <c r="AB105" s="61">
        <f>SUMIFS('Status of Curriculum Completion'!$CM$4:$CM$38,'Status of Curriculum Completion'!$CC$4:$CC$38,"PH",'Status of Curriculum Completion'!$CG$4:$CG$38,"Tentative")+SUMIFS('Status of Curriculum Completion'!$CZ$4:$CZ$38,'Status of Curriculum Completion'!$CP$4:$CP$38,"PH",'Status of Curriculum Completion'!$CT$4:$CT$38,"Tentative")+SUMIFS('Status of Curriculum Completion'!$DM$4:$DM$38,'Status of Curriculum Completion'!$DC$4:$DC$38,"PH",'Status of Curriculum Completion'!$DG$4:$DG$38,"Tentative")</f>
        <v>0</v>
      </c>
      <c r="AC105" s="61">
        <f>SUMIFS('Status of Curriculum Completion'!$CM$4:$CM$38,'Status of Curriculum Completion'!$CC$4:$CC$38,"PH",'Status of Curriculum Completion'!$CH$4:$CH$38,"Complete")+SUMIFS('Status of Curriculum Completion'!$CZ$4:$CZ$38,'Status of Curriculum Completion'!$CP$4:$CP$38,"PH",'Status of Curriculum Completion'!$CU$4:$CU$38,"Complete")+SUMIFS('Status of Curriculum Completion'!$DM$4:$DM$38,'Status of Curriculum Completion'!$DC$4:$DC$38,"PH",'Status of Curriculum Completion'!$DH$4:$DH$38,"Complete")</f>
        <v>17</v>
      </c>
      <c r="AD105" s="61">
        <f>SUMIFS('Status of Curriculum Completion'!$CM$4:$CM$38,'Status of Curriculum Completion'!$CC$4:$CC$38,"PH",'Status of Curriculum Completion'!$CH$4:$CH$38,"In Progress")+SUMIFS('Status of Curriculum Completion'!$CZ$4:$CZ$38,'Status of Curriculum Completion'!$CP$4:$CP$38,"PH",'Status of Curriculum Completion'!$CU$4:$CU$38,"In Progress")+SUMIFS('Status of Curriculum Completion'!$DM$4:$DM$38,'Status of Curriculum Completion'!$DC$4:$DC$38,"PH",'Status of Curriculum Completion'!$DH$4:$DH$38,"In Progress")</f>
        <v>0</v>
      </c>
      <c r="AE105" s="61">
        <f>SUMIFS('Status of Curriculum Completion'!$CM$4:$CM$38,'Status of Curriculum Completion'!$CC$4:$CC$38,"PH",'Status of Curriculum Completion'!$CH$4:$CH$38,"Planned")+SUMIFS('Status of Curriculum Completion'!$CZ$4:$CZ$38,'Status of Curriculum Completion'!$CP$4:$CP$38,"PH",'Status of Curriculum Completion'!$CU$4:$CU$38,"Planned")+SUMIFS('Status of Curriculum Completion'!$DM$4:$DM$38,'Status of Curriculum Completion'!$DC$4:$DC$38,"PH",'Status of Curriculum Completion'!$DH$4:$DH$38,"Planned")</f>
        <v>0</v>
      </c>
      <c r="AF105" s="61">
        <f>SUMIFS('Status of Curriculum Completion'!$CM$4:$CM$38,'Status of Curriculum Completion'!$CC$4:$CC$38,"PH",'Status of Curriculum Completion'!$CH$4:$CH$38,"Tentative")+SUMIFS('Status of Curriculum Completion'!$CZ$4:$CZ$38,'Status of Curriculum Completion'!$CP$4:$CP$38,"PH",'Status of Curriculum Completion'!$CU$4:$CU$38,"Tentative")+SUMIFS('Status of Curriculum Completion'!$DM$4:$DM$38,'Status of Curriculum Completion'!$DC$4:$DC$38,"PH",'Status of Curriculum Completion'!$DH$4:$DH$38,"Tentative")</f>
        <v>0</v>
      </c>
      <c r="AG105" s="61">
        <f>SUMIFS('Status of Curriculum Completion'!$CM$4:$CM$38,'Status of Curriculum Completion'!$CC$4:$CC$38,"PH",'Status of Curriculum Completion'!$CI$4:$CI$38,"Complete")+SUMIFS('Status of Curriculum Completion'!$CZ$4:$CZ$38,'Status of Curriculum Completion'!$CP$4:$CP$38,"PH",'Status of Curriculum Completion'!$CV$4:$CV$38,"Complete")+SUMIFS('Status of Curriculum Completion'!$DM$4:$DM$38,'Status of Curriculum Completion'!$DC$4:$DC$38,"PH",'Status of Curriculum Completion'!$DI$4:$DI$38,"Complete")</f>
        <v>17</v>
      </c>
      <c r="AH105" s="61">
        <f>SUMIFS('Status of Curriculum Completion'!$CM$4:$CM$38,'Status of Curriculum Completion'!$CC$4:$CC$38,"PH",'Status of Curriculum Completion'!$CI$4:$CI$38,"In Progress")+SUMIFS('Status of Curriculum Completion'!$CZ$4:$CZ$38,'Status of Curriculum Completion'!$CP$4:$CP$38,"PH",'Status of Curriculum Completion'!$CV$4:$CV$38,"In Progress")+SUMIFS('Status of Curriculum Completion'!$DM$4:$DM$38,'Status of Curriculum Completion'!$DC$4:$DC$38,"PH",'Status of Curriculum Completion'!$DI$4:$DI$38,"In Progress")</f>
        <v>0</v>
      </c>
      <c r="AI105" s="61">
        <f>SUMIFS('Status of Curriculum Completion'!$CM$4:$CM$38,'Status of Curriculum Completion'!$CC$4:$CC$38,"PH",'Status of Curriculum Completion'!$CI$4:$CI$38,"Planned")+SUMIFS('Status of Curriculum Completion'!$CZ$4:$CZ$38,'Status of Curriculum Completion'!$CP$4:$CP$38,"PH",'Status of Curriculum Completion'!$CV$4:$CV$38,"Planned")+SUMIFS('Status of Curriculum Completion'!$DM$4:$DM$38,'Status of Curriculum Completion'!$DC$4:$DC$38,"PH",'Status of Curriculum Completion'!$DI$4:$DI$38,"Planned")</f>
        <v>0</v>
      </c>
      <c r="AJ105" s="61">
        <f>SUMIFS('Status of Curriculum Completion'!$CM$4:$CM$38,'Status of Curriculum Completion'!$CC$4:$CC$38,"PH",'Status of Curriculum Completion'!$CI$4:$CI$38,"Tentative")+SUMIFS('Status of Curriculum Completion'!$CZ$4:$CZ$38,'Status of Curriculum Completion'!$CP$4:$CP$38,"PH",'Status of Curriculum Completion'!$CV$4:$CV$38,"Tentative")+SUMIFS('Status of Curriculum Completion'!$DM$4:$DM$38,'Status of Curriculum Completion'!$DC$4:$DC$38,"PH",'Status of Curriculum Completion'!$DI$4:$DI$38,"Tentative")</f>
        <v>0</v>
      </c>
      <c r="AK105" s="62">
        <f>SUMIFS('Status of Curriculum Completion'!$DZ$4:$DZ$38,'Status of Curriculum Completion'!$DP$4:$DP$38,"PH",'Status of Curriculum Completion'!$DT$4:$DT$38,"Complete")+SUMIFS('Status of Curriculum Completion'!$EM$4:$EM$38,'Status of Curriculum Completion'!$EC$4:$EC$38,"PH",'Status of Curriculum Completion'!$EG$4:$EG$38,"Complete")+SUMIFS('Status of Curriculum Completion'!$EZ$4:$EZ$38,'Status of Curriculum Completion'!$EP$4:$EP$38,"PH",'Status of Curriculum Completion'!$ET$4:$ET$38,"Complete")</f>
        <v>0</v>
      </c>
      <c r="AL105" s="62">
        <f>SUMIFS('Status of Curriculum Completion'!$DZ$4:$DZ$38,'Status of Curriculum Completion'!$DP$4:$DP$38,"PH",'Status of Curriculum Completion'!$DT$4:$DT$38,"In Progress")+SUMIFS('Status of Curriculum Completion'!$EM$4:$EM$38,'Status of Curriculum Completion'!$EC$4:$EC$38,"PH",'Status of Curriculum Completion'!$EG$4:$EG$38,"In Progress")+SUMIFS('Status of Curriculum Completion'!$EZ$4:$EZ$38,'Status of Curriculum Completion'!$EP$4:$EP$38,"PH",'Status of Curriculum Completion'!$ET$4:$ET$38,"In Progress")</f>
        <v>0</v>
      </c>
      <c r="AM105" s="62">
        <f>SUMIFS('Status of Curriculum Completion'!$DZ$4:$DZ$38,'Status of Curriculum Completion'!$DP$4:$DP$38,"PH",'Status of Curriculum Completion'!$DT$4:$DT$38,"Planned")+SUMIFS('Status of Curriculum Completion'!$EM$4:$EM$38,'Status of Curriculum Completion'!$EC$4:$EC$38,"PH",'Status of Curriculum Completion'!$EG$4:$EG$38,"Planned")+SUMIFS('Status of Curriculum Completion'!$EZ$4:$EZ$38,'Status of Curriculum Completion'!$EP$4:$EP$38,"PH",'Status of Curriculum Completion'!$ET$4:$ET$38,"Planned")</f>
        <v>0</v>
      </c>
      <c r="AN105" s="62">
        <f>SUMIFS('Status of Curriculum Completion'!$DZ$4:$DZ$38,'Status of Curriculum Completion'!$DP$4:$DP$38,"PH",'Status of Curriculum Completion'!$DT$4:$DT$38,"Tentative")+SUMIFS('Status of Curriculum Completion'!$EM$4:$EM$38,'Status of Curriculum Completion'!$EC$4:$EC$38,"PH",'Status of Curriculum Completion'!$EG$4:$EG$38,"Tentative")+SUMIFS('Status of Curriculum Completion'!$EZ$4:$EZ$38,'Status of Curriculum Completion'!$EP$4:$EP$38,"PH",'Status of Curriculum Completion'!$ET$4:$ET$38,"Tentative")</f>
        <v>0</v>
      </c>
      <c r="AO105" s="62">
        <f>SUMIFS('Status of Curriculum Completion'!$DZ$4:$DZ$38,'Status of Curriculum Completion'!$DP$4:$DP$38,"PH",'Status of Curriculum Completion'!$DU$4:$DU$38,"Complete")+SUMIFS('Status of Curriculum Completion'!$EM$4:$EM$38,'Status of Curriculum Completion'!$EC$4:$EC$38,"PH",'Status of Curriculum Completion'!$EH$4:$EH$38,"Complete")+SUMIFS('Status of Curriculum Completion'!$EZ$4:$EZ$38,'Status of Curriculum Completion'!$EP$4:$EP$38,"PH",'Status of Curriculum Completion'!$EU$4:$EU$38,"Complete")</f>
        <v>0</v>
      </c>
      <c r="AP105" s="62">
        <f>SUMIFS('Status of Curriculum Completion'!$DZ$4:$DZ$38,'Status of Curriculum Completion'!$DP$4:$DP$38,"PH",'Status of Curriculum Completion'!$DU$4:$DU$38,"In Progress")+SUMIFS('Status of Curriculum Completion'!$EM$4:$EM$38,'Status of Curriculum Completion'!$EC$4:$EC$38,"PH",'Status of Curriculum Completion'!$EH$4:$EH$38,"In Progress")+SUMIFS('Status of Curriculum Completion'!$EZ$4:$EZ$38,'Status of Curriculum Completion'!$EP$4:$EP$38,"PH",'Status of Curriculum Completion'!$EU$4:$EU$38,"In Progress")</f>
        <v>0</v>
      </c>
      <c r="AQ105" s="62">
        <f>SUMIFS('Status of Curriculum Completion'!$DZ$4:$DZ$38,'Status of Curriculum Completion'!$DP$4:$DP$38,"PH",'Status of Curriculum Completion'!$DU$4:$DU$38,"Planned")+SUMIFS('Status of Curriculum Completion'!$EM$4:$EM$38,'Status of Curriculum Completion'!$EC$4:$EC$38,"PH",'Status of Curriculum Completion'!$EH$4:$EH$38,"Planned")+SUMIFS('Status of Curriculum Completion'!$EZ$4:$EZ$38,'Status of Curriculum Completion'!$EP$4:$EP$38,"PH",'Status of Curriculum Completion'!$EU$4:$EU$38,"Planned")</f>
        <v>0</v>
      </c>
      <c r="AR105" s="62">
        <f>SUMIFS('Status of Curriculum Completion'!$DZ$4:$DZ$38,'Status of Curriculum Completion'!$DP$4:$DP$38,"PH",'Status of Curriculum Completion'!$DU$4:$DU$38,"Tentative")+SUMIFS('Status of Curriculum Completion'!$EM$4:$EM$38,'Status of Curriculum Completion'!$EC$4:$EC$38,"PH",'Status of Curriculum Completion'!$EH$4:$EH$38,"Tentative")+SUMIFS('Status of Curriculum Completion'!$EZ$4:$EZ$38,'Status of Curriculum Completion'!$EP$4:$EP$38,"PH",'Status of Curriculum Completion'!$EU$4:$EU$38,"Tentative")</f>
        <v>0</v>
      </c>
      <c r="AS105" s="62">
        <f>SUMIFS('Status of Curriculum Completion'!$DZ$4:$DZ$38,'Status of Curriculum Completion'!$DP$4:$DP$38,"PH",'Status of Curriculum Completion'!$DV$4:$DV$38,"Complete")+SUMIFS('Status of Curriculum Completion'!$EM$4:$EM$38,'Status of Curriculum Completion'!$EC$4:$EC$38,"PH",'Status of Curriculum Completion'!$EI$4:$EI$38,"Complete")+SUMIFS('Status of Curriculum Completion'!$EZ$4:$EZ$38,'Status of Curriculum Completion'!$EP$4:$EP$38,"PH",'Status of Curriculum Completion'!$EV$4:$EV$38,"Complete")</f>
        <v>0</v>
      </c>
      <c r="AT105" s="62">
        <f>SUMIFS('Status of Curriculum Completion'!$DZ$4:$DZ$38,'Status of Curriculum Completion'!$DP$4:$DP$38,"PH",'Status of Curriculum Completion'!$DV$4:$DV$38,"In Progress")+SUMIFS('Status of Curriculum Completion'!$EM$4:$EM$38,'Status of Curriculum Completion'!$EC$4:$EC$38,"PH",'Status of Curriculum Completion'!$EI$4:$EI$38,"In Progress")+SUMIFS('Status of Curriculum Completion'!$EZ$4:$EZ$38,'Status of Curriculum Completion'!$EP$4:$EP$38,"PH",'Status of Curriculum Completion'!$EV$4:$EV$38,"In Progress")</f>
        <v>0</v>
      </c>
      <c r="AU105" s="62">
        <f>SUMIFS('Status of Curriculum Completion'!$DZ$4:$DZ$38,'Status of Curriculum Completion'!$DP$4:$DP$38,"PH",'Status of Curriculum Completion'!$DV$4:$DV$38,"Planned")+SUMIFS('Status of Curriculum Completion'!$EM$4:$EM$38,'Status of Curriculum Completion'!$EC$4:$EC$38,"PH",'Status of Curriculum Completion'!$EI$4:$EI$38,"Planned")+SUMIFS('Status of Curriculum Completion'!$EZ$4:$EZ$38,'Status of Curriculum Completion'!$EP$4:$EP$38,"PH",'Status of Curriculum Completion'!$EV$4:$EV$38,"Planned")</f>
        <v>0</v>
      </c>
      <c r="AV105" s="62">
        <f>SUMIFS('Status of Curriculum Completion'!$DZ$4:$DZ$38,'Status of Curriculum Completion'!$DP$4:$DP$38,"PH",'Status of Curriculum Completion'!$DV$4:$DV$38,"Tentative")+SUMIFS('Status of Curriculum Completion'!$EM$4:$EM$38,'Status of Curriculum Completion'!$EC$4:$EC$38,"PH",'Status of Curriculum Completion'!$EI$4:$EI$38,"Tentative")+SUMIFS('Status of Curriculum Completion'!$EZ$4:$EZ$38,'Status of Curriculum Completion'!$EP$4:$EP$38,"PH",'Status of Curriculum Completion'!$EV$4:$EV$38,"Tentative")</f>
        <v>0</v>
      </c>
    </row>
    <row r="106" spans="3:48" ht="44" hidden="1" thickBot="1">
      <c r="C106" s="63" t="s">
        <v>1633</v>
      </c>
      <c r="D106" s="59">
        <f>SUMIFS('Status of Curriculum Completion'!$M$4:$M$38,'Status of Curriculum Completion'!$C$4:$C$38,"CIC WE",'Status of Curriculum Completion'!$G$4:$G$38,"Complete")+SUMIFS('Status of Curriculum Completion'!$Z$4:$Z$38,'Status of Curriculum Completion'!$P$4:$P$38,"CIC WE",'Status of Curriculum Completion'!$T$4:$T$38,"Complete")+SUMIFS('Status of Curriculum Completion'!$AM$4:$AM$38,'Status of Curriculum Completion'!$AC$4:$AC$38,"CIC WE",'Status of Curriculum Completion'!$AG$4:$AG$38,"Complete")</f>
        <v>14</v>
      </c>
      <c r="E106" s="59">
        <f>SUMIFS('Status of Curriculum Completion'!$M$4:$M$38,'Status of Curriculum Completion'!$C$4:$C$38,"CIC WE",'Status of Curriculum Completion'!$G$4:$G$38,"In progress")+SUMIFS('Status of Curriculum Completion'!$Z$4:$Z$38,'Status of Curriculum Completion'!$P$4:$P$38,"CIC WE",'Status of Curriculum Completion'!$T$4:$T$38,"In progress")+SUMIFS('Status of Curriculum Completion'!$AM$4:$AM$38,'Status of Curriculum Completion'!$AC$4:$AC$38,"CIC WE",'Status of Curriculum Completion'!$AG$4:$AG$38,"In progress")</f>
        <v>0</v>
      </c>
      <c r="F106" s="59">
        <f>SUMIFS('Status of Curriculum Completion'!$M$4:$M$38,'Status of Curriculum Completion'!$C$4:$C$38,"CIC WE",'Status of Curriculum Completion'!$G$4:$G$38,"Planned")+SUMIFS('Status of Curriculum Completion'!$Z$4:$Z$38,'Status of Curriculum Completion'!$P$4:$P$38,"CIC WE",'Status of Curriculum Completion'!$T$4:$T$38,"Planned")+SUMIFS('Status of Curriculum Completion'!$AM$4:$AM$38,'Status of Curriculum Completion'!$AC$4:$AC$38,"CIC WE",'Status of Curriculum Completion'!$AG$4:$AG$38,"Planned")</f>
        <v>0</v>
      </c>
      <c r="G106" s="59">
        <f>SUMIFS('Status of Curriculum Completion'!$M$4:$M$38,'Status of Curriculum Completion'!$C$4:$C$38,"CIC WE",'Status of Curriculum Completion'!$H$4:$H$38,"Complete")+SUMIFS('Status of Curriculum Completion'!$Z$4:$Z$38,'Status of Curriculum Completion'!$P$4:$P$38,"CIC WE",'Status of Curriculum Completion'!$U$4:$U$38,"Complete")+SUMIFS('Status of Curriculum Completion'!$AM$4:$AM$38,'Status of Curriculum Completion'!$AC$4:$AC$38,"CIC WE",'Status of Curriculum Completion'!$AH$4:$AH$38,"Complete")</f>
        <v>14</v>
      </c>
      <c r="H106" s="59">
        <f>SUMIFS('Status of Curriculum Completion'!$M$4:$M$38,'Status of Curriculum Completion'!$C$4:$C$38,"CIC WE",'Status of Curriculum Completion'!$H$4:$H$38,"In Progress")+SUMIFS('Status of Curriculum Completion'!$Z$4:$Z$38,'Status of Curriculum Completion'!$P$4:$P$38,"CIC WE",'Status of Curriculum Completion'!$U$4:$U$38,"In Progress")+SUMIFS('Status of Curriculum Completion'!$AM$4:$AM$38,'Status of Curriculum Completion'!$AC$4:$AC$38,"CIC WE",'Status of Curriculum Completion'!$AH$4:$AH$38,"In Progress")</f>
        <v>0</v>
      </c>
      <c r="I106" s="59">
        <f>SUMIFS('Status of Curriculum Completion'!$M$4:$M$38,'Status of Curriculum Completion'!$C$4:$C$38,"CIC WE",'Status of Curriculum Completion'!$H$4:$H$38,"Planned")+SUMIFS('Status of Curriculum Completion'!$Z$4:$Z$38,'Status of Curriculum Completion'!$P$4:$P$38,"CIC WE",'Status of Curriculum Completion'!$U$4:$U$38,"Planned")+SUMIFS('Status of Curriculum Completion'!$AM$4:$AM$38,'Status of Curriculum Completion'!$AC$4:$AC$38,"CIC WE",'Status of Curriculum Completion'!$AH$4:$AH$38,"Planned")</f>
        <v>0</v>
      </c>
      <c r="J106" s="59">
        <f>SUMIFS('Status of Curriculum Completion'!$M$4:$M$38,'Status of Curriculum Completion'!$C$4:$C$38,"CIC WE",'Status of Curriculum Completion'!$I$4:$I$38,"Complete")+SUMIFS('Status of Curriculum Completion'!$Z$4:$Z$38,'Status of Curriculum Completion'!$P$4:$P$38,"CIC WE",'Status of Curriculum Completion'!$V$4:$V$38,"Complete")+SUMIFS('Status of Curriculum Completion'!$AM$4:$AM$38,'Status of Curriculum Completion'!$AC$4:$AC$38,"CIC WE",'Status of Curriculum Completion'!$AI$4:$AI$38,"Complete")</f>
        <v>14</v>
      </c>
      <c r="K106" s="59">
        <f>SUMIFS('Status of Curriculum Completion'!$M$4:$M$38,'Status of Curriculum Completion'!$C$4:$C$38,"CIC WE",'Status of Curriculum Completion'!$I$4:$I$38,"In Progress")+SUMIFS('Status of Curriculum Completion'!$Z$4:$Z$38,'Status of Curriculum Completion'!$P$4:$P$38,"CIC WE",'Status of Curriculum Completion'!$V$4:$V$38,"In Progress")+SUMIFS('Status of Curriculum Completion'!$AM$4:$AM$38,'Status of Curriculum Completion'!$AC$4:$AC$38,"CIC WE",'Status of Curriculum Completion'!$AI$4:$AI$38,"In Progress")</f>
        <v>0</v>
      </c>
      <c r="L106" s="59">
        <f>SUMIFS('Status of Curriculum Completion'!$M$4:$M$38,'Status of Curriculum Completion'!$C$4:$C$38,"CIC WE",'Status of Curriculum Completion'!$I$4:$I$38,"Planned")+SUMIFS('Status of Curriculum Completion'!$Z$4:$Z$38,'Status of Curriculum Completion'!$P$4:$P$38,"CIC WE",'Status of Curriculum Completion'!$V$4:$V$38,"Planned")+SUMIFS('Status of Curriculum Completion'!$AM$4:$AM$38,'Status of Curriculum Completion'!$AC$4:$AC$38,"CIC WE",'Status of Curriculum Completion'!$AI$4:$AI$38,"Planned")</f>
        <v>0</v>
      </c>
      <c r="M106" s="60">
        <f>SUMIFS('Status of Curriculum Completion'!$AZ$4:$AZ$38,'Status of Curriculum Completion'!$AP$4:$AP$38,"CIC WE",'Status of Curriculum Completion'!$AT$4:$AT$38,"Complete")+SUMIFS('Status of Curriculum Completion'!$BM$4:$BM$38,'Status of Curriculum Completion'!$BC$4:$BC$38,"CIC WE",'Status of Curriculum Completion'!$BG$4:$BG$38,"Complete")+SUMIFS('Status of Curriculum Completion'!$BZ$4:$BZ$38,'Status of Curriculum Completion'!$BP$4:$BP$38,"CIC WE",'Status of Curriculum Completion'!$BT$4:$BT$38,"Complete")</f>
        <v>22</v>
      </c>
      <c r="N106" s="60">
        <f>SUMIFS('Status of Curriculum Completion'!$AZ$4:$AZ$38,'Status of Curriculum Completion'!$AP$4:$AP$38,"CIC WE",'Status of Curriculum Completion'!$AT$4:$AT$38,"In Progress")+SUMIFS('Status of Curriculum Completion'!$BM$4:$BM$38,'Status of Curriculum Completion'!$BC$4:$BC$38,"CIC WE",'Status of Curriculum Completion'!$BG$4:$BG$38,"In Progress")+SUMIFS('Status of Curriculum Completion'!$BZ$4:$BZ$38,'Status of Curriculum Completion'!$BP$4:$BP$38,"CIC WE",'Status of Curriculum Completion'!$BT$4:$BT$38,"In Progress")</f>
        <v>0</v>
      </c>
      <c r="O106" s="60">
        <f>SUMIFS('Status of Curriculum Completion'!$AZ$4:$AZ$38,'Status of Curriculum Completion'!$AP$4:$AP$38,"CIC WE",'Status of Curriculum Completion'!$AT$4:$AT$38,"Planned")+SUMIFS('Status of Curriculum Completion'!$BM$4:$BM$38,'Status of Curriculum Completion'!$BC$4:$BC$38,"CIC WE",'Status of Curriculum Completion'!$BG$4:$BG$38,"Planned")+SUMIFS('Status of Curriculum Completion'!$BZ$4:$BZ$38,'Status of Curriculum Completion'!$BP$4:$BP$38,"CIC WE",'Status of Curriculum Completion'!$BT$4:$BT$38,"Planned")</f>
        <v>0</v>
      </c>
      <c r="P106" s="60">
        <f>SUMIFS('Status of Curriculum Completion'!$AZ$4:$AZ$38,'Status of Curriculum Completion'!$AP$4:$AP$38,"CIC WE",'Status of Curriculum Completion'!$AU$4:$AU$38,"Complete")+SUMIFS('Status of Curriculum Completion'!$BM$4:$BM$38,'Status of Curriculum Completion'!$BC$4:$BC$38,"CIC WE",'Status of Curriculum Completion'!$BH$4:$BH$38,"Complete")+SUMIFS('Status of Curriculum Completion'!$BZ$4:$BZ$38,'Status of Curriculum Completion'!$BP$4:$BP$38,"CIC WE",'Status of Curriculum Completion'!$BU$4:$BU$38,"Complete")</f>
        <v>22</v>
      </c>
      <c r="Q106" s="60">
        <f>SUMIFS('Status of Curriculum Completion'!$AZ$4:$AZ$38,'Status of Curriculum Completion'!$AP$4:$AP$38,"CIC WE",'Status of Curriculum Completion'!$AU$4:$AU$38,"In Progress")+SUMIFS('Status of Curriculum Completion'!$BM$4:$BM$38,'Status of Curriculum Completion'!$BC$4:$BC$38,"CIC WE",'Status of Curriculum Completion'!$BH$4:$BH$38,"In Progress")+SUMIFS('Status of Curriculum Completion'!$BZ$4:$BZ$38,'Status of Curriculum Completion'!$BP$4:$BP$38,"CIC WE",'Status of Curriculum Completion'!$BU$4:$BU$38,"In Progress")</f>
        <v>0</v>
      </c>
      <c r="R106" s="60">
        <f>SUMIFS('Status of Curriculum Completion'!$AZ$4:$AZ$38,'Status of Curriculum Completion'!$AP$4:$AP$38,"CIC WE",'Status of Curriculum Completion'!$AU$4:$AU$38,"Planned")+SUMIFS('Status of Curriculum Completion'!$BM$4:$BM$38,'Status of Curriculum Completion'!$BC$4:$BC$38,"CIC WE",'Status of Curriculum Completion'!$BH$4:$BH$38,"Planned")+SUMIFS('Status of Curriculum Completion'!$BZ$4:$BZ$38,'Status of Curriculum Completion'!$BP$4:$BP$38,"CIC WE",'Status of Curriculum Completion'!$BU$4:$BU$38,"Planned")</f>
        <v>0</v>
      </c>
      <c r="S106" s="60">
        <f>SUMIFS('Status of Curriculum Completion'!$AZ$4:$AZ$38,'Status of Curriculum Completion'!$AP$4:$AP$38,"CIC WE",'Status of Curriculum Completion'!$AV$4:$AV$38,"Complete")+SUMIFS('Status of Curriculum Completion'!$BM$4:$BM$38,'Status of Curriculum Completion'!$BC$4:$BC$38,"CIC WE",'Status of Curriculum Completion'!$BI$4:$BI$38,"Complete")+SUMIFS('Status of Curriculum Completion'!$BZ$4:$BZ$38,'Status of Curriculum Completion'!$BP$4:$BP$38,"CIC WE",'Status of Curriculum Completion'!$BV$4:$BV$38,"Complete")</f>
        <v>22</v>
      </c>
      <c r="T106" s="60">
        <f>SUMIFS('Status of Curriculum Completion'!$AZ$4:$AZ$38,'Status of Curriculum Completion'!$AP$4:$AP$38,"CIC WE",'Status of Curriculum Completion'!$AV$4:$AV$38,"In Progress")+SUMIFS('Status of Curriculum Completion'!$BM$4:$BM$38,'Status of Curriculum Completion'!$BC$4:$BC$38,"CIC WE",'Status of Curriculum Completion'!$BI$4:$BI$38,"In Progress")+SUMIFS('Status of Curriculum Completion'!$BZ$4:$BZ$38,'Status of Curriculum Completion'!$BP$4:$BP$38,"CIC WE",'Status of Curriculum Completion'!$BV$4:$BV$38,"In Progress")</f>
        <v>0</v>
      </c>
      <c r="U106" s="60">
        <f>SUMIFS('Status of Curriculum Completion'!$AZ$4:$AZ$38,'Status of Curriculum Completion'!$AP$4:$AP$38,"CIC WE",'Status of Curriculum Completion'!$AV$4:$AV$38,"Planned")+SUMIFS('Status of Curriculum Completion'!$BM$4:$BM$38,'Status of Curriculum Completion'!$BC$4:$BC$38,"CIC WE",'Status of Curriculum Completion'!$BI$4:$BI$38,"Planned")+SUMIFS('Status of Curriculum Completion'!$BZ$4:$BZ$38,'Status of Curriculum Completion'!$BP$4:$BP$38,"CIC WE",'Status of Curriculum Completion'!$BV$4:$BV$38,"Planned")</f>
        <v>0</v>
      </c>
      <c r="V106" s="58"/>
      <c r="W106"/>
      <c r="X106" s="63" t="s">
        <v>1633</v>
      </c>
      <c r="Y106" s="61">
        <f>SUMIFS('Status of Curriculum Completion'!$CM$4:$CM$38,'Status of Curriculum Completion'!$CC$4:$CC$38,"CIC WE",'Status of Curriculum Completion'!$CG$4:$CG$38,"Complete")+SUMIFS('Status of Curriculum Completion'!$CZ$4:$CZ$38,'Status of Curriculum Completion'!$CP$4:$CP$38,"CIC WE",'Status of Curriculum Completion'!$CT$4:$CT$38,"Complete")+SUMIFS('Status of Curriculum Completion'!$DM$4:$DM$38,'Status of Curriculum Completion'!$DC$4:$DC$38,"CIC WE",'Status of Curriculum Completion'!$DG$4:$DG$38,"Complete")</f>
        <v>19</v>
      </c>
      <c r="Z106" s="61">
        <f>SUMIFS('Status of Curriculum Completion'!$CM$4:$CM$38,'Status of Curriculum Completion'!$CC$4:$CC$38,"CIC WE",'Status of Curriculum Completion'!$CG$4:$CG$38,"In Progress")+SUMIFS('Status of Curriculum Completion'!$CZ$4:$CZ$38,'Status of Curriculum Completion'!$CP$4:$CP$38,"CIC WE",'Status of Curriculum Completion'!$CT$4:$CT$38,"In Progress")+SUMIFS('Status of Curriculum Completion'!$DM$4:$DM$38,'Status of Curriculum Completion'!$DC$4:$DC$38,"CIC WE",'Status of Curriculum Completion'!$DG$4:$DG$38,"In Progress")</f>
        <v>0</v>
      </c>
      <c r="AA106" s="61">
        <f>SUMIFS('Status of Curriculum Completion'!$CM$4:$CM$38,'Status of Curriculum Completion'!$CC$4:$CC$38,"CIC WE",'Status of Curriculum Completion'!$CG$4:$CG$38,"Planned")+SUMIFS('Status of Curriculum Completion'!$CZ$4:$CZ$38,'Status of Curriculum Completion'!$CP$4:$CP$38,"CIC WE",'Status of Curriculum Completion'!$CT$4:$CT$38,"Planned")+SUMIFS('Status of Curriculum Completion'!$DM$4:$DM$38,'Status of Curriculum Completion'!$DC$4:$DC$38,"CIC WE",'Status of Curriculum Completion'!$DG$4:$DG$38,"Planned")</f>
        <v>0</v>
      </c>
      <c r="AB106" s="61">
        <f>SUMIFS('Status of Curriculum Completion'!$CM$4:$CM$38,'Status of Curriculum Completion'!$CC$4:$CC$38,"CIC WE",'Status of Curriculum Completion'!$CG$4:$CG$38,"Tentative")+SUMIFS('Status of Curriculum Completion'!$CZ$4:$CZ$38,'Status of Curriculum Completion'!$CP$4:$CP$38,"CIC WE",'Status of Curriculum Completion'!$CT$4:$CT$38,"Tentative")+SUMIFS('Status of Curriculum Completion'!$DM$4:$DM$38,'Status of Curriculum Completion'!$DC$4:$DC$38,"CIC WE",'Status of Curriculum Completion'!$DG$4:$DG$38,"Tentative")</f>
        <v>0</v>
      </c>
      <c r="AC106" s="61">
        <f>SUMIFS('Status of Curriculum Completion'!$CM$4:$CM$38,'Status of Curriculum Completion'!$CC$4:$CC$38,"CIC WE",'Status of Curriculum Completion'!$CH$4:$CH$38,"Complete")+SUMIFS('Status of Curriculum Completion'!$CZ$4:$CZ$38,'Status of Curriculum Completion'!$CP$4:$CP$38,"CIC WE",'Status of Curriculum Completion'!$CU$4:$CU$38,"Complete")+SUMIFS('Status of Curriculum Completion'!$DM$4:$DM$38,'Status of Curriculum Completion'!$DC$4:$DC$38,"CIC WE",'Status of Curriculum Completion'!$DH$4:$DH$38,"Complete")</f>
        <v>19</v>
      </c>
      <c r="AD106" s="61">
        <f>SUMIFS('Status of Curriculum Completion'!$CM$4:$CM$38,'Status of Curriculum Completion'!$CC$4:$CC$38,"CIC WE",'Status of Curriculum Completion'!$CH$4:$CH$38,"In Progress")+SUMIFS('Status of Curriculum Completion'!$CZ$4:$CZ$38,'Status of Curriculum Completion'!$CP$4:$CP$38,"CIC WE",'Status of Curriculum Completion'!$CU$4:$CU$38,"In Progress")+SUMIFS('Status of Curriculum Completion'!$DM$4:$DM$38,'Status of Curriculum Completion'!$DC$4:$DC$38,"CIC WE",'Status of Curriculum Completion'!$DH$4:$DH$38,"In Progress")</f>
        <v>0</v>
      </c>
      <c r="AE106" s="61">
        <f>SUMIFS('Status of Curriculum Completion'!$CM$4:$CM$38,'Status of Curriculum Completion'!$CC$4:$CC$38,"CIC WE",'Status of Curriculum Completion'!$CH$4:$CH$38,"Planned")+SUMIFS('Status of Curriculum Completion'!$CZ$4:$CZ$38,'Status of Curriculum Completion'!$CP$4:$CP$38,"CIC WE",'Status of Curriculum Completion'!$CU$4:$CU$38,"Planned")+SUMIFS('Status of Curriculum Completion'!$DM$4:$DM$38,'Status of Curriculum Completion'!$DC$4:$DC$38,"CIC WE",'Status of Curriculum Completion'!$DH$4:$DH$38,"Planned")</f>
        <v>0</v>
      </c>
      <c r="AF106" s="61">
        <f>SUMIFS('Status of Curriculum Completion'!$CM$4:$CM$38,'Status of Curriculum Completion'!$CC$4:$CC$38,"CIC WE",'Status of Curriculum Completion'!$CH$4:$CH$38,"Tentative")+SUMIFS('Status of Curriculum Completion'!$CZ$4:$CZ$38,'Status of Curriculum Completion'!$CP$4:$CP$38,"CIC WE",'Status of Curriculum Completion'!$CU$4:$CU$38,"Tentative")+SUMIFS('Status of Curriculum Completion'!$DM$4:$DM$38,'Status of Curriculum Completion'!$DC$4:$DC$38,"CIC WE",'Status of Curriculum Completion'!$DH$4:$DH$38,"Tentative")</f>
        <v>0</v>
      </c>
      <c r="AG106" s="61">
        <f>SUMIFS('Status of Curriculum Completion'!$CM$4:$CM$38,'Status of Curriculum Completion'!$CC$4:$CC$38,"CIC WE",'Status of Curriculum Completion'!$CI$4:$CI$38,"Complete")+SUMIFS('Status of Curriculum Completion'!$CZ$4:$CZ$38,'Status of Curriculum Completion'!$CP$4:$CP$38,"CIC WE",'Status of Curriculum Completion'!$CV$4:$CV$38,"Complete")+SUMIFS('Status of Curriculum Completion'!$DM$4:$DM$38,'Status of Curriculum Completion'!$DC$4:$DC$38,"CIC WE",'Status of Curriculum Completion'!$DI$4:$DI$38,"Complete")</f>
        <v>0</v>
      </c>
      <c r="AH106" s="61">
        <f>SUMIFS('Status of Curriculum Completion'!$CM$4:$CM$38,'Status of Curriculum Completion'!$CC$4:$CC$38,"CIC WE",'Status of Curriculum Completion'!$CI$4:$CI$38,"In Progress")+SUMIFS('Status of Curriculum Completion'!$CZ$4:$CZ$38,'Status of Curriculum Completion'!$CP$4:$CP$38,"CIC WE",'Status of Curriculum Completion'!$CV$4:$CV$38,"In Progress")+SUMIFS('Status of Curriculum Completion'!$DM$4:$DM$38,'Status of Curriculum Completion'!$DC$4:$DC$38,"CIC WE",'Status of Curriculum Completion'!$DI$4:$DI$38,"In Progress")</f>
        <v>19</v>
      </c>
      <c r="AI106" s="61">
        <f>SUMIFS('Status of Curriculum Completion'!$CM$4:$CM$38,'Status of Curriculum Completion'!$CC$4:$CC$38,"CIC WE",'Status of Curriculum Completion'!$CI$4:$CI$38,"Planned")+SUMIFS('Status of Curriculum Completion'!$CZ$4:$CZ$38,'Status of Curriculum Completion'!$CP$4:$CP$38,"CIC WE",'Status of Curriculum Completion'!$CV$4:$CV$38,"Planned")+SUMIFS('Status of Curriculum Completion'!$DM$4:$DM$38,'Status of Curriculum Completion'!$DC$4:$DC$38,"CIC WE",'Status of Curriculum Completion'!$DI$4:$DI$38,"Planned")</f>
        <v>0</v>
      </c>
      <c r="AJ106" s="61">
        <f>SUMIFS('Status of Curriculum Completion'!$CM$4:$CM$38,'Status of Curriculum Completion'!$CC$4:$CC$38,"CIC WE",'Status of Curriculum Completion'!$CI$4:$CI$38,"Tentative")+SUMIFS('Status of Curriculum Completion'!$CZ$4:$CZ$38,'Status of Curriculum Completion'!$CP$4:$CP$38,"CIC WE",'Status of Curriculum Completion'!$CV$4:$CV$38,"Tentative")+SUMIFS('Status of Curriculum Completion'!$DM$4:$DM$38,'Status of Curriculum Completion'!$DC$4:$DC$38,"CIC WE",'Status of Curriculum Completion'!$DI$4:$DI$38,"Tentative")</f>
        <v>0</v>
      </c>
      <c r="AK106" s="62">
        <f>SUMIFS('Status of Curriculum Completion'!$DZ$4:$DZ$38,'Status of Curriculum Completion'!$DP$4:$DP$38,"CIC WE",'Status of Curriculum Completion'!$DT$4:$DT$38,"Complete")+SUMIFS('Status of Curriculum Completion'!$EM$4:$EM$38,'Status of Curriculum Completion'!$EC$4:$EC$38,"CIC WE",'Status of Curriculum Completion'!$EG$4:$EG$38,"Complete")+SUMIFS('Status of Curriculum Completion'!$EZ$4:$EZ$38,'Status of Curriculum Completion'!$EP$4:$EP$38,"CIC WE",'Status of Curriculum Completion'!$ET$4:$ET$38,"Complete")</f>
        <v>26</v>
      </c>
      <c r="AL106" s="62">
        <f>SUMIFS('Status of Curriculum Completion'!$DZ$4:$DZ$38,'Status of Curriculum Completion'!$DP$4:$DP$38,"CIC WE",'Status of Curriculum Completion'!$DT$4:$DT$38,"In Progress")+SUMIFS('Status of Curriculum Completion'!$EM$4:$EM$38,'Status of Curriculum Completion'!$EC$4:$EC$38,"CIC WE",'Status of Curriculum Completion'!$EG$4:$EG$38,"In Progress")+SUMIFS('Status of Curriculum Completion'!$EZ$4:$EZ$38,'Status of Curriculum Completion'!$EP$4:$EP$38,"CIC WE",'Status of Curriculum Completion'!$ET$4:$ET$38,"In Progress")</f>
        <v>0</v>
      </c>
      <c r="AM106" s="62">
        <f>SUMIFS('Status of Curriculum Completion'!$DZ$4:$DZ$38,'Status of Curriculum Completion'!$DP$4:$DP$38,"CIC WE",'Status of Curriculum Completion'!$DT$4:$DT$38,"Planned")+SUMIFS('Status of Curriculum Completion'!$EM$4:$EM$38,'Status of Curriculum Completion'!$EC$4:$EC$38,"CIC WE",'Status of Curriculum Completion'!$EG$4:$EG$38,"Planned")+SUMIFS('Status of Curriculum Completion'!$EZ$4:$EZ$38,'Status of Curriculum Completion'!$EP$4:$EP$38,"CIC WE",'Status of Curriculum Completion'!$ET$4:$ET$38,"Planned")</f>
        <v>0</v>
      </c>
      <c r="AN106" s="62">
        <f>SUMIFS('Status of Curriculum Completion'!$DZ$4:$DZ$38,'Status of Curriculum Completion'!$DP$4:$DP$38,"CIC WE",'Status of Curriculum Completion'!$DT$4:$DT$38,"Tentative")+SUMIFS('Status of Curriculum Completion'!$EM$4:$EM$38,'Status of Curriculum Completion'!$EC$4:$EC$38,"CIC WE",'Status of Curriculum Completion'!$EG$4:$EG$38,"Tentative")+SUMIFS('Status of Curriculum Completion'!$EZ$4:$EZ$38,'Status of Curriculum Completion'!$EP$4:$EP$38,"CIC WE",'Status of Curriculum Completion'!$ET$4:$ET$38,"Tentative")</f>
        <v>0</v>
      </c>
      <c r="AO106" s="62">
        <f>SUMIFS('Status of Curriculum Completion'!$DZ$4:$DZ$38,'Status of Curriculum Completion'!$DP$4:$DP$38,"CIC WE",'Status of Curriculum Completion'!$DU$4:$DU$38,"Complete")+SUMIFS('Status of Curriculum Completion'!$EM$4:$EM$38,'Status of Curriculum Completion'!$EC$4:$EC$38,"CIC WE",'Status of Curriculum Completion'!$EH$4:$EH$38,"Complete")+SUMIFS('Status of Curriculum Completion'!$EZ$4:$EZ$38,'Status of Curriculum Completion'!$EP$4:$EP$38,"CIC WE",'Status of Curriculum Completion'!$EU$4:$EU$38,"Complete")</f>
        <v>26</v>
      </c>
      <c r="AP106" s="62">
        <f>SUMIFS('Status of Curriculum Completion'!$DZ$4:$DZ$38,'Status of Curriculum Completion'!$DP$4:$DP$38,"CIC WE",'Status of Curriculum Completion'!$DU$4:$DU$38,"In Progress")+SUMIFS('Status of Curriculum Completion'!$EM$4:$EM$38,'Status of Curriculum Completion'!$EC$4:$EC$38,"CIC WE",'Status of Curriculum Completion'!$EH$4:$EH$38,"In Progress")+SUMIFS('Status of Curriculum Completion'!$EZ$4:$EZ$38,'Status of Curriculum Completion'!$EP$4:$EP$38,"CIC WE",'Status of Curriculum Completion'!$EU$4:$EU$38,"In Progress")</f>
        <v>0</v>
      </c>
      <c r="AQ106" s="62">
        <f>SUMIFS('Status of Curriculum Completion'!$DZ$4:$DZ$38,'Status of Curriculum Completion'!$DP$4:$DP$38,"CIC WE",'Status of Curriculum Completion'!$DU$4:$DU$38,"Planned")+SUMIFS('Status of Curriculum Completion'!$EM$4:$EM$38,'Status of Curriculum Completion'!$EC$4:$EC$38,"CIC WE",'Status of Curriculum Completion'!$EH$4:$EH$38,"Planned")+SUMIFS('Status of Curriculum Completion'!$EZ$4:$EZ$38,'Status of Curriculum Completion'!$EP$4:$EP$38,"CIC WE",'Status of Curriculum Completion'!$EU$4:$EU$38,"Planned")</f>
        <v>0</v>
      </c>
      <c r="AR106" s="62">
        <f>SUMIFS('Status of Curriculum Completion'!$DZ$4:$DZ$38,'Status of Curriculum Completion'!$DP$4:$DP$38,"CIC WE",'Status of Curriculum Completion'!$DU$4:$DU$38,"Tentative")+SUMIFS('Status of Curriculum Completion'!$EM$4:$EM$38,'Status of Curriculum Completion'!$EC$4:$EC$38,"CIC WE",'Status of Curriculum Completion'!$EH$4:$EH$38,"Tentative")+SUMIFS('Status of Curriculum Completion'!$EZ$4:$EZ$38,'Status of Curriculum Completion'!$EP$4:$EP$38,"CIC WE",'Status of Curriculum Completion'!$EU$4:$EU$38,"Tentative")</f>
        <v>0</v>
      </c>
      <c r="AS106" s="62">
        <f>SUMIFS('Status of Curriculum Completion'!$DZ$4:$DZ$38,'Status of Curriculum Completion'!$DP$4:$DP$38,"CIC WE",'Status of Curriculum Completion'!$DV$4:$DV$38,"Complete")+SUMIFS('Status of Curriculum Completion'!$EM$4:$EM$38,'Status of Curriculum Completion'!$EC$4:$EC$38,"CIC WE",'Status of Curriculum Completion'!$EI$4:$EI$38,"Complete")+SUMIFS('Status of Curriculum Completion'!$EZ$4:$EZ$38,'Status of Curriculum Completion'!$EP$4:$EP$38,"CIC WE",'Status of Curriculum Completion'!$EV$4:$EV$38,"Complete")</f>
        <v>0</v>
      </c>
      <c r="AT106" s="62">
        <f>SUMIFS('Status of Curriculum Completion'!$DZ$4:$DZ$38,'Status of Curriculum Completion'!$DP$4:$DP$38,"CIC WE",'Status of Curriculum Completion'!$DV$4:$DV$38,"In Progress")+SUMIFS('Status of Curriculum Completion'!$EM$4:$EM$38,'Status of Curriculum Completion'!$EC$4:$EC$38,"CIC WE",'Status of Curriculum Completion'!$EI$4:$EI$38,"In Progress")+SUMIFS('Status of Curriculum Completion'!$EZ$4:$EZ$38,'Status of Curriculum Completion'!$EP$4:$EP$38,"CIC WE",'Status of Curriculum Completion'!$EV$4:$EV$38,"In Progress")</f>
        <v>0</v>
      </c>
      <c r="AU106" s="62">
        <f>SUMIFS('Status of Curriculum Completion'!$DZ$4:$DZ$38,'Status of Curriculum Completion'!$DP$4:$DP$38,"CIC WE",'Status of Curriculum Completion'!$DV$4:$DV$38,"Planned")+SUMIFS('Status of Curriculum Completion'!$EM$4:$EM$38,'Status of Curriculum Completion'!$EC$4:$EC$38,"CIC WE",'Status of Curriculum Completion'!$EI$4:$EI$38,"Planned")+SUMIFS('Status of Curriculum Completion'!$EZ$4:$EZ$38,'Status of Curriculum Completion'!$EP$4:$EP$38,"CIC WE",'Status of Curriculum Completion'!$EV$4:$EV$38,"Planned")</f>
        <v>26</v>
      </c>
      <c r="AV106" s="62">
        <f>SUMIFS('Status of Curriculum Completion'!$DZ$4:$DZ$38,'Status of Curriculum Completion'!$DP$4:$DP$38,"CIC WE",'Status of Curriculum Completion'!$DV$4:$DV$38,"Tentative")+SUMIFS('Status of Curriculum Completion'!$EM$4:$EM$38,'Status of Curriculum Completion'!$EC$4:$EC$38,"CIC WE",'Status of Curriculum Completion'!$EI$4:$EI$38,"Tentative")+SUMIFS('Status of Curriculum Completion'!$EZ$4:$EZ$38,'Status of Curriculum Completion'!$EP$4:$EP$38,"CIC WE",'Status of Curriculum Completion'!$EV$4:$EV$38,"Tentative")</f>
        <v>0</v>
      </c>
    </row>
    <row r="107" spans="3:48" ht="15" hidden="1" thickBot="1">
      <c r="C107" s="63" t="s">
        <v>1634</v>
      </c>
      <c r="D107" s="59">
        <f>SUMIFS('Status of Curriculum Completion'!$M$4:$M$38,'Status of Curriculum Completion'!$C$4:$C$38,"AP",'Status of Curriculum Completion'!$G$4:$G$38,"Complete")+SUMIFS('Status of Curriculum Completion'!$Z$4:$Z$38,'Status of Curriculum Completion'!$P$4:$P$38,"AP",'Status of Curriculum Completion'!$T$4:$T$38,"Complete")+SUMIFS('Status of Curriculum Completion'!$AM$4:$AM$38,'Status of Curriculum Completion'!$AC$4:$AC$38,"AP",'Status of Curriculum Completion'!$AG$4:$AG$38,"Complete")</f>
        <v>23</v>
      </c>
      <c r="E107" s="59">
        <f>SUMIFS('Status of Curriculum Completion'!$M$4:$M$38,'Status of Curriculum Completion'!$C$4:$C$38,"AP",'Status of Curriculum Completion'!$G$4:$G$38,"In progress")+SUMIFS('Status of Curriculum Completion'!$Z$4:$Z$38,'Status of Curriculum Completion'!$P$4:$P$38,"AP",'Status of Curriculum Completion'!$T$4:$T$38,"In progress")+SUMIFS('Status of Curriculum Completion'!$AM$4:$AM$38,'Status of Curriculum Completion'!$AC$4:$AC$38,"AP",'Status of Curriculum Completion'!$AG$4:$AG$38,"In progress")</f>
        <v>0</v>
      </c>
      <c r="F107" s="59">
        <f>SUMIFS('Status of Curriculum Completion'!$M$4:$M$38,'Status of Curriculum Completion'!$C$4:$C$38,"AP",'Status of Curriculum Completion'!$G$4:$G$38,"Planned")+SUMIFS('Status of Curriculum Completion'!$Z$4:$Z$38,'Status of Curriculum Completion'!$P$4:$P$38,"AP",'Status of Curriculum Completion'!$T$4:$T$38,"Planned")+SUMIFS('Status of Curriculum Completion'!$AM$4:$AM$38,'Status of Curriculum Completion'!$AC$4:$AC$38,"AP",'Status of Curriculum Completion'!$AG$4:$AG$38,"Planned")</f>
        <v>0</v>
      </c>
      <c r="G107" s="59">
        <f>SUMIFS('Status of Curriculum Completion'!$M$4:$M$38,'Status of Curriculum Completion'!$C$4:$C$38,"AP",'Status of Curriculum Completion'!$H$4:$H$38,"Complete")+SUMIFS('Status of Curriculum Completion'!$Z$4:$Z$38,'Status of Curriculum Completion'!$P$4:$P$38,"AP",'Status of Curriculum Completion'!$U$4:$U$38,"Complete")+SUMIFS('Status of Curriculum Completion'!$AM$4:$AM$38,'Status of Curriculum Completion'!$AC$4:$AC$38,"AP",'Status of Curriculum Completion'!$AH$4:$AH$38,"Complete")</f>
        <v>23</v>
      </c>
      <c r="H107" s="59">
        <f>SUMIFS('Status of Curriculum Completion'!$M$4:$M$38,'Status of Curriculum Completion'!$C$4:$C$38,"AP",'Status of Curriculum Completion'!$H$4:$H$38,"In Progress")+SUMIFS('Status of Curriculum Completion'!$Z$4:$Z$38,'Status of Curriculum Completion'!$P$4:$P$38,"AP",'Status of Curriculum Completion'!$U$4:$U$38,"In Progress")+SUMIFS('Status of Curriculum Completion'!$AM$4:$AM$38,'Status of Curriculum Completion'!$AC$4:$AC$38,"AP",'Status of Curriculum Completion'!$AH$4:$AH$38,"In Progress")</f>
        <v>0</v>
      </c>
      <c r="I107" s="59">
        <f>SUMIFS('Status of Curriculum Completion'!$M$4:$M$38,'Status of Curriculum Completion'!$C$4:$C$38,"AP",'Status of Curriculum Completion'!$H$4:$H$38,"Planned")+SUMIFS('Status of Curriculum Completion'!$Z$4:$Z$38,'Status of Curriculum Completion'!$P$4:$P$38,"AP",'Status of Curriculum Completion'!$U$4:$U$38,"Planned")+SUMIFS('Status of Curriculum Completion'!$AM$4:$AM$38,'Status of Curriculum Completion'!$AC$4:$AC$38,"AP",'Status of Curriculum Completion'!$AH$4:$AH$38,"Planned")</f>
        <v>0</v>
      </c>
      <c r="J107" s="59">
        <f>SUMIFS('Status of Curriculum Completion'!$M$4:$M$38,'Status of Curriculum Completion'!$C$4:$C$38,"AP",'Status of Curriculum Completion'!$I$4:$I$38,"Complete")+SUMIFS('Status of Curriculum Completion'!$Z$4:$Z$38,'Status of Curriculum Completion'!$P$4:$P$38,"AP",'Status of Curriculum Completion'!$V$4:$V$38,"Complete")+SUMIFS('Status of Curriculum Completion'!$AM$4:$AM$38,'Status of Curriculum Completion'!$AC$4:$AC$38,"AP",'Status of Curriculum Completion'!$AI$4:$AI$38,"Complete")</f>
        <v>23</v>
      </c>
      <c r="K107" s="59">
        <f>SUMIFS('Status of Curriculum Completion'!$M$4:$M$38,'Status of Curriculum Completion'!$C$4:$C$38,"AP",'Status of Curriculum Completion'!$I$4:$I$38,"In Progress")+SUMIFS('Status of Curriculum Completion'!$Z$4:$Z$38,'Status of Curriculum Completion'!$P$4:$P$38,"AP",'Status of Curriculum Completion'!$V$4:$V$38,"In Progress")+SUMIFS('Status of Curriculum Completion'!$AM$4:$AM$38,'Status of Curriculum Completion'!$AC$4:$AC$38,"AP",'Status of Curriculum Completion'!$AI$4:$AI$38,"In Progress")</f>
        <v>0</v>
      </c>
      <c r="L107" s="59">
        <f>SUMIFS('Status of Curriculum Completion'!$M$4:$M$38,'Status of Curriculum Completion'!$C$4:$C$38,"AP",'Status of Curriculum Completion'!$I$4:$I$38,"Planned")+SUMIFS('Status of Curriculum Completion'!$Z$4:$Z$38,'Status of Curriculum Completion'!$P$4:$P$38,"AP",'Status of Curriculum Completion'!$V$4:$V$38,"Planned")+SUMIFS('Status of Curriculum Completion'!$AM$4:$AM$38,'Status of Curriculum Completion'!$AC$4:$AC$38,"AP",'Status of Curriculum Completion'!$AI$4:$AI$38,"Planned")</f>
        <v>0</v>
      </c>
      <c r="M107" s="60">
        <f>SUMIFS('Status of Curriculum Completion'!$AZ$4:$AZ$38,'Status of Curriculum Completion'!$AP$4:$AP$38,"AP",'Status of Curriculum Completion'!$AT$4:$AT$38,"Complete")+SUMIFS('Status of Curriculum Completion'!$BM$4:$BM$38,'Status of Curriculum Completion'!$BC$4:$BC$38,"AP",'Status of Curriculum Completion'!$BG$4:$BG$38,"Complete")+SUMIFS('Status of Curriculum Completion'!$BZ$4:$BZ$38,'Status of Curriculum Completion'!$BP$4:$BP$38,"AP",'Status of Curriculum Completion'!$BT$4:$BT$38,"Complete")</f>
        <v>0</v>
      </c>
      <c r="N107" s="60">
        <f>SUMIFS('Status of Curriculum Completion'!$AZ$4:$AZ$38,'Status of Curriculum Completion'!$AP$4:$AP$38,"AP",'Status of Curriculum Completion'!$AT$4:$AT$38,"In Progress")+SUMIFS('Status of Curriculum Completion'!$BM$4:$BM$38,'Status of Curriculum Completion'!$BC$4:$BC$38,"AP",'Status of Curriculum Completion'!$BG$4:$BG$38,"In Progress")+SUMIFS('Status of Curriculum Completion'!$BZ$4:$BZ$38,'Status of Curriculum Completion'!$BP$4:$BP$38,"AP",'Status of Curriculum Completion'!$BT$4:$BT$38,"In Progress")</f>
        <v>0</v>
      </c>
      <c r="O107" s="60">
        <f>SUMIFS('Status of Curriculum Completion'!$AZ$4:$AZ$38,'Status of Curriculum Completion'!$AP$4:$AP$38,"AP",'Status of Curriculum Completion'!$AT$4:$AT$38,"Planned")+SUMIFS('Status of Curriculum Completion'!$BM$4:$BM$38,'Status of Curriculum Completion'!$BC$4:$BC$38,"AP",'Status of Curriculum Completion'!$BG$4:$BG$38,"Planned")+SUMIFS('Status of Curriculum Completion'!$BZ$4:$BZ$38,'Status of Curriculum Completion'!$BP$4:$BP$38,"AP",'Status of Curriculum Completion'!$BT$4:$BT$38,"Planned")</f>
        <v>0</v>
      </c>
      <c r="P107" s="60">
        <f>SUMIFS('Status of Curriculum Completion'!$AZ$4:$AZ$38,'Status of Curriculum Completion'!$AP$4:$AP$38,"AP",'Status of Curriculum Completion'!$AU$4:$AU$38,"Complete")+SUMIFS('Status of Curriculum Completion'!$BM$4:$BM$38,'Status of Curriculum Completion'!$BC$4:$BC$38,"AP",'Status of Curriculum Completion'!$BH$4:$BH$38,"Complete")+SUMIFS('Status of Curriculum Completion'!$BZ$4:$BZ$38,'Status of Curriculum Completion'!$BP$4:$BP$38,"AP",'Status of Curriculum Completion'!$BU$4:$BU$38,"Complete")</f>
        <v>0</v>
      </c>
      <c r="Q107" s="60">
        <f>SUMIFS('Status of Curriculum Completion'!$AZ$4:$AZ$38,'Status of Curriculum Completion'!$AP$4:$AP$38,"AP",'Status of Curriculum Completion'!$AU$4:$AU$38,"In Progress")+SUMIFS('Status of Curriculum Completion'!$BM$4:$BM$38,'Status of Curriculum Completion'!$BC$4:$BC$38,"AP",'Status of Curriculum Completion'!$BH$4:$BH$38,"In Progress")+SUMIFS('Status of Curriculum Completion'!$BZ$4:$BZ$38,'Status of Curriculum Completion'!$BP$4:$BP$38,"AP",'Status of Curriculum Completion'!$BU$4:$BU$38,"In Progress")</f>
        <v>0</v>
      </c>
      <c r="R107" s="60">
        <f>SUMIFS('Status of Curriculum Completion'!$AZ$4:$AZ$38,'Status of Curriculum Completion'!$AP$4:$AP$38,"AP",'Status of Curriculum Completion'!$AU$4:$AU$38,"Planned")+SUMIFS('Status of Curriculum Completion'!$BM$4:$BM$38,'Status of Curriculum Completion'!$BC$4:$BC$38,"AP",'Status of Curriculum Completion'!$BH$4:$BH$38,"Planned")+SUMIFS('Status of Curriculum Completion'!$BZ$4:$BZ$38,'Status of Curriculum Completion'!$BP$4:$BP$38,"AP",'Status of Curriculum Completion'!$BU$4:$BU$38,"Planned")</f>
        <v>0</v>
      </c>
      <c r="S107" s="60">
        <f>SUMIFS('Status of Curriculum Completion'!$AZ$4:$AZ$38,'Status of Curriculum Completion'!$AP$4:$AP$38,"AP",'Status of Curriculum Completion'!$AV$4:$AV$38,"Complete")+SUMIFS('Status of Curriculum Completion'!$BM$4:$BM$38,'Status of Curriculum Completion'!$BC$4:$BC$38,"AP",'Status of Curriculum Completion'!$BI$4:$BI$38,"Complete")+SUMIFS('Status of Curriculum Completion'!$BZ$4:$BZ$38,'Status of Curriculum Completion'!$BP$4:$BP$38,"AP",'Status of Curriculum Completion'!$BV$4:$BV$38,"Complete")</f>
        <v>0</v>
      </c>
      <c r="T107" s="60">
        <f>SUMIFS('Status of Curriculum Completion'!$AZ$4:$AZ$38,'Status of Curriculum Completion'!$AP$4:$AP$38,"AP",'Status of Curriculum Completion'!$AV$4:$AV$38,"In Progress")+SUMIFS('Status of Curriculum Completion'!$BM$4:$BM$38,'Status of Curriculum Completion'!$BC$4:$BC$38,"AP",'Status of Curriculum Completion'!$BI$4:$BI$38,"In Progress")+SUMIFS('Status of Curriculum Completion'!$BZ$4:$BZ$38,'Status of Curriculum Completion'!$BP$4:$BP$38,"AP",'Status of Curriculum Completion'!$BV$4:$BV$38,"In Progress")</f>
        <v>0</v>
      </c>
      <c r="U107" s="60">
        <f>SUMIFS('Status of Curriculum Completion'!$AZ$4:$AZ$38,'Status of Curriculum Completion'!$AP$4:$AP$38,"AP",'Status of Curriculum Completion'!$AV$4:$AV$38,"Planned")+SUMIFS('Status of Curriculum Completion'!$BM$4:$BM$38,'Status of Curriculum Completion'!$BC$4:$BC$38,"AP",'Status of Curriculum Completion'!$BI$4:$BI$38,"Planned")+SUMIFS('Status of Curriculum Completion'!$BZ$4:$BZ$38,'Status of Curriculum Completion'!$BP$4:$BP$38,"AP",'Status of Curriculum Completion'!$BV$4:$BV$38,"Planned")</f>
        <v>0</v>
      </c>
      <c r="V107" s="58"/>
      <c r="W107"/>
      <c r="X107" s="63" t="s">
        <v>1634</v>
      </c>
      <c r="Y107" s="61">
        <f>SUMIFS('Status of Curriculum Completion'!$CM$4:$CM$38,'Status of Curriculum Completion'!$CC$4:$CC$38,"AP",'Status of Curriculum Completion'!$CG$4:$CG$38,"Complete")+SUMIFS('Status of Curriculum Completion'!$CZ$4:$CZ$38,'Status of Curriculum Completion'!$CP$4:$CP$38,"AP",'Status of Curriculum Completion'!$CT$4:$CT$38,"Complete")+SUMIFS('Status of Curriculum Completion'!$DM$4:$DM$38,'Status of Curriculum Completion'!$DC$4:$DC$38,"AP",'Status of Curriculum Completion'!$DG$4:$DG$38,"Complete")</f>
        <v>37</v>
      </c>
      <c r="Z107" s="61">
        <f>SUMIFS('Status of Curriculum Completion'!$CM$4:$CM$38,'Status of Curriculum Completion'!$CC$4:$CC$38,"AP",'Status of Curriculum Completion'!$CG$4:$CG$38,"In Progress")+SUMIFS('Status of Curriculum Completion'!$CZ$4:$CZ$38,'Status of Curriculum Completion'!$CP$4:$CP$38,"AP",'Status of Curriculum Completion'!$CT$4:$CT$38,"In Progress")+SUMIFS('Status of Curriculum Completion'!$DM$4:$DM$38,'Status of Curriculum Completion'!$DC$4:$DC$38,"AP",'Status of Curriculum Completion'!$DG$4:$DG$38,"In Progress")</f>
        <v>0</v>
      </c>
      <c r="AA107" s="61">
        <f>SUMIFS('Status of Curriculum Completion'!$CM$4:$CM$38,'Status of Curriculum Completion'!$CC$4:$CC$38,"AP",'Status of Curriculum Completion'!$CG$4:$CG$38,"Planned")+SUMIFS('Status of Curriculum Completion'!$CZ$4:$CZ$38,'Status of Curriculum Completion'!$CP$4:$CP$38,"AP",'Status of Curriculum Completion'!$CT$4:$CT$38,"Planned")+SUMIFS('Status of Curriculum Completion'!$DM$4:$DM$38,'Status of Curriculum Completion'!$DC$4:$DC$38,"AP",'Status of Curriculum Completion'!$DG$4:$DG$38,"Planned")</f>
        <v>0</v>
      </c>
      <c r="AB107" s="61">
        <f>SUMIFS('Status of Curriculum Completion'!$CM$4:$CM$38,'Status of Curriculum Completion'!$CC$4:$CC$38,"AP",'Status of Curriculum Completion'!$CG$4:$CG$38,"Tentative")+SUMIFS('Status of Curriculum Completion'!$CZ$4:$CZ$38,'Status of Curriculum Completion'!$CP$4:$CP$38,"AP",'Status of Curriculum Completion'!$CT$4:$CT$38,"Tentative")+SUMIFS('Status of Curriculum Completion'!$DM$4:$DM$38,'Status of Curriculum Completion'!$DC$4:$DC$38,"AP",'Status of Curriculum Completion'!$DG$4:$DG$38,"Tentative")</f>
        <v>0</v>
      </c>
      <c r="AC107" s="61">
        <f>SUMIFS('Status of Curriculum Completion'!$CM$4:$CM$38,'Status of Curriculum Completion'!$CC$4:$CC$38,"AP",'Status of Curriculum Completion'!$CH$4:$CH$38,"Complete")+SUMIFS('Status of Curriculum Completion'!$CZ$4:$CZ$38,'Status of Curriculum Completion'!$CP$4:$CP$38,"AP",'Status of Curriculum Completion'!$CU$4:$CU$38,"Complete")+SUMIFS('Status of Curriculum Completion'!$DM$4:$DM$38,'Status of Curriculum Completion'!$DC$4:$DC$38,"AP",'Status of Curriculum Completion'!$DH$4:$DH$38,"Complete")</f>
        <v>37</v>
      </c>
      <c r="AD107" s="61">
        <f>SUMIFS('Status of Curriculum Completion'!$CM$4:$CM$38,'Status of Curriculum Completion'!$CC$4:$CC$38,"AP",'Status of Curriculum Completion'!$CH$4:$CH$38,"In Progress")+SUMIFS('Status of Curriculum Completion'!$CZ$4:$CZ$38,'Status of Curriculum Completion'!$CP$4:$CP$38,"AP",'Status of Curriculum Completion'!$CU$4:$CU$38,"In Progress")+SUMIFS('Status of Curriculum Completion'!$DM$4:$DM$38,'Status of Curriculum Completion'!$DC$4:$DC$38,"AP",'Status of Curriculum Completion'!$DH$4:$DH$38,"In Progress")</f>
        <v>0</v>
      </c>
      <c r="AE107" s="61">
        <f>SUMIFS('Status of Curriculum Completion'!$CM$4:$CM$38,'Status of Curriculum Completion'!$CC$4:$CC$38,"AP",'Status of Curriculum Completion'!$CH$4:$CH$38,"Planned")+SUMIFS('Status of Curriculum Completion'!$CZ$4:$CZ$38,'Status of Curriculum Completion'!$CP$4:$CP$38,"AP",'Status of Curriculum Completion'!$CU$4:$CU$38,"Planned")+SUMIFS('Status of Curriculum Completion'!$DM$4:$DM$38,'Status of Curriculum Completion'!$DC$4:$DC$38,"AP",'Status of Curriculum Completion'!$DH$4:$DH$38,"Planned")</f>
        <v>0</v>
      </c>
      <c r="AF107" s="61">
        <f>SUMIFS('Status of Curriculum Completion'!$CM$4:$CM$38,'Status of Curriculum Completion'!$CC$4:$CC$38,"AP",'Status of Curriculum Completion'!$CH$4:$CH$38,"Tentative")+SUMIFS('Status of Curriculum Completion'!$CZ$4:$CZ$38,'Status of Curriculum Completion'!$CP$4:$CP$38,"AP",'Status of Curriculum Completion'!$CU$4:$CU$38,"Tentative")+SUMIFS('Status of Curriculum Completion'!$DM$4:$DM$38,'Status of Curriculum Completion'!$DC$4:$DC$38,"AP",'Status of Curriculum Completion'!$DH$4:$DH$38,"Tentative")</f>
        <v>0</v>
      </c>
      <c r="AG107" s="61">
        <f>SUMIFS('Status of Curriculum Completion'!$CM$4:$CM$38,'Status of Curriculum Completion'!$CC$4:$CC$38,"AP",'Status of Curriculum Completion'!$CI$4:$CI$38,"Complete")+SUMIFS('Status of Curriculum Completion'!$CZ$4:$CZ$38,'Status of Curriculum Completion'!$CP$4:$CP$38,"AP",'Status of Curriculum Completion'!$CV$4:$CV$38,"Complete")+SUMIFS('Status of Curriculum Completion'!$DM$4:$DM$38,'Status of Curriculum Completion'!$DC$4:$DC$38,"AP",'Status of Curriculum Completion'!$DI$4:$DI$38,"Complete")</f>
        <v>22</v>
      </c>
      <c r="AH107" s="61">
        <f>SUMIFS('Status of Curriculum Completion'!$CM$4:$CM$38,'Status of Curriculum Completion'!$CC$4:$CC$38,"AP",'Status of Curriculum Completion'!$CI$4:$CI$38,"In Progress")+SUMIFS('Status of Curriculum Completion'!$CZ$4:$CZ$38,'Status of Curriculum Completion'!$CP$4:$CP$38,"AP",'Status of Curriculum Completion'!$CV$4:$CV$38,"In Progress")+SUMIFS('Status of Curriculum Completion'!$DM$4:$DM$38,'Status of Curriculum Completion'!$DC$4:$DC$38,"AP",'Status of Curriculum Completion'!$DI$4:$DI$38,"In Progress")</f>
        <v>15</v>
      </c>
      <c r="AI107" s="61">
        <f>SUMIFS('Status of Curriculum Completion'!$CM$4:$CM$38,'Status of Curriculum Completion'!$CC$4:$CC$38,"AP",'Status of Curriculum Completion'!$CI$4:$CI$38,"Planned")+SUMIFS('Status of Curriculum Completion'!$CZ$4:$CZ$38,'Status of Curriculum Completion'!$CP$4:$CP$38,"AP",'Status of Curriculum Completion'!$CV$4:$CV$38,"Planned")+SUMIFS('Status of Curriculum Completion'!$DM$4:$DM$38,'Status of Curriculum Completion'!$DC$4:$DC$38,"AP",'Status of Curriculum Completion'!$DI$4:$DI$38,"Planned")</f>
        <v>0</v>
      </c>
      <c r="AJ107" s="61">
        <f>SUMIFS('Status of Curriculum Completion'!$CM$4:$CM$38,'Status of Curriculum Completion'!$CC$4:$CC$38,"AP",'Status of Curriculum Completion'!$CI$4:$CI$38,"Tentative")+SUMIFS('Status of Curriculum Completion'!$CZ$4:$CZ$38,'Status of Curriculum Completion'!$CP$4:$CP$38,"AP",'Status of Curriculum Completion'!$CV$4:$CV$38,"Tentative")+SUMIFS('Status of Curriculum Completion'!$DM$4:$DM$38,'Status of Curriculum Completion'!$DC$4:$DC$38,"AP",'Status of Curriculum Completion'!$DI$4:$DI$38,"Tentative")</f>
        <v>0</v>
      </c>
      <c r="AK107" s="62">
        <f>SUMIFS('Status of Curriculum Completion'!$DZ$4:$DZ$38,'Status of Curriculum Completion'!$DP$4:$DP$38,"AP",'Status of Curriculum Completion'!$DT$4:$DT$38,"Complete")+SUMIFS('Status of Curriculum Completion'!$EM$4:$EM$38,'Status of Curriculum Completion'!$EC$4:$EC$38,"AP",'Status of Curriculum Completion'!$EG$4:$EG$38,"Complete")+SUMIFS('Status of Curriculum Completion'!$EZ$4:$EZ$38,'Status of Curriculum Completion'!$EP$4:$EP$38,"AP",'Status of Curriculum Completion'!$ET$4:$ET$38,"Complete")</f>
        <v>18</v>
      </c>
      <c r="AL107" s="62">
        <f>SUMIFS('Status of Curriculum Completion'!$DZ$4:$DZ$38,'Status of Curriculum Completion'!$DP$4:$DP$38,"AP",'Status of Curriculum Completion'!$DT$4:$DT$38,"In Progress")+SUMIFS('Status of Curriculum Completion'!$EM$4:$EM$38,'Status of Curriculum Completion'!$EC$4:$EC$38,"AP",'Status of Curriculum Completion'!$EG$4:$EG$38,"In Progress")+SUMIFS('Status of Curriculum Completion'!$EZ$4:$EZ$38,'Status of Curriculum Completion'!$EP$4:$EP$38,"AP",'Status of Curriculum Completion'!$ET$4:$ET$38,"In Progress")</f>
        <v>0</v>
      </c>
      <c r="AM107" s="62">
        <f>SUMIFS('Status of Curriculum Completion'!$DZ$4:$DZ$38,'Status of Curriculum Completion'!$DP$4:$DP$38,"AP",'Status of Curriculum Completion'!$DT$4:$DT$38,"Planned")+SUMIFS('Status of Curriculum Completion'!$EM$4:$EM$38,'Status of Curriculum Completion'!$EC$4:$EC$38,"AP",'Status of Curriculum Completion'!$EG$4:$EG$38,"Planned")+SUMIFS('Status of Curriculum Completion'!$EZ$4:$EZ$38,'Status of Curriculum Completion'!$EP$4:$EP$38,"AP",'Status of Curriculum Completion'!$ET$4:$ET$38,"Planned")</f>
        <v>0</v>
      </c>
      <c r="AN107" s="62">
        <f>SUMIFS('Status of Curriculum Completion'!$DZ$4:$DZ$38,'Status of Curriculum Completion'!$DP$4:$DP$38,"AP",'Status of Curriculum Completion'!$DT$4:$DT$38,"Tentative")+SUMIFS('Status of Curriculum Completion'!$EM$4:$EM$38,'Status of Curriculum Completion'!$EC$4:$EC$38,"AP",'Status of Curriculum Completion'!$EG$4:$EG$38,"Tentative")+SUMIFS('Status of Curriculum Completion'!$EZ$4:$EZ$38,'Status of Curriculum Completion'!$EP$4:$EP$38,"AP",'Status of Curriculum Completion'!$ET$4:$ET$38,"Tentative")</f>
        <v>0</v>
      </c>
      <c r="AO107" s="62">
        <f>SUMIFS('Status of Curriculum Completion'!$DZ$4:$DZ$38,'Status of Curriculum Completion'!$DP$4:$DP$38,"AP",'Status of Curriculum Completion'!$DU$4:$DU$38,"Complete")+SUMIFS('Status of Curriculum Completion'!$EM$4:$EM$38,'Status of Curriculum Completion'!$EC$4:$EC$38,"AP",'Status of Curriculum Completion'!$EH$4:$EH$38,"Complete")+SUMIFS('Status of Curriculum Completion'!$EZ$4:$EZ$38,'Status of Curriculum Completion'!$EP$4:$EP$38,"AP",'Status of Curriculum Completion'!$EU$4:$EU$38,"Complete")</f>
        <v>18</v>
      </c>
      <c r="AP107" s="62">
        <f>SUMIFS('Status of Curriculum Completion'!$DZ$4:$DZ$38,'Status of Curriculum Completion'!$DP$4:$DP$38,"AP",'Status of Curriculum Completion'!$DU$4:$DU$38,"In Progress")+SUMIFS('Status of Curriculum Completion'!$EM$4:$EM$38,'Status of Curriculum Completion'!$EC$4:$EC$38,"AP",'Status of Curriculum Completion'!$EH$4:$EH$38,"In Progress")+SUMIFS('Status of Curriculum Completion'!$EZ$4:$EZ$38,'Status of Curriculum Completion'!$EP$4:$EP$38,"AP",'Status of Curriculum Completion'!$EU$4:$EU$38,"In Progress")</f>
        <v>0</v>
      </c>
      <c r="AQ107" s="62">
        <f>SUMIFS('Status of Curriculum Completion'!$DZ$4:$DZ$38,'Status of Curriculum Completion'!$DP$4:$DP$38,"AP",'Status of Curriculum Completion'!$DU$4:$DU$38,"Planned")+SUMIFS('Status of Curriculum Completion'!$EM$4:$EM$38,'Status of Curriculum Completion'!$EC$4:$EC$38,"AP",'Status of Curriculum Completion'!$EH$4:$EH$38,"Planned")+SUMIFS('Status of Curriculum Completion'!$EZ$4:$EZ$38,'Status of Curriculum Completion'!$EP$4:$EP$38,"AP",'Status of Curriculum Completion'!$EU$4:$EU$38,"Planned")</f>
        <v>0</v>
      </c>
      <c r="AR107" s="62">
        <f>SUMIFS('Status of Curriculum Completion'!$DZ$4:$DZ$38,'Status of Curriculum Completion'!$DP$4:$DP$38,"AP",'Status of Curriculum Completion'!$DU$4:$DU$38,"Tentative")+SUMIFS('Status of Curriculum Completion'!$EM$4:$EM$38,'Status of Curriculum Completion'!$EC$4:$EC$38,"AP",'Status of Curriculum Completion'!$EH$4:$EH$38,"Tentative")+SUMIFS('Status of Curriculum Completion'!$EZ$4:$EZ$38,'Status of Curriculum Completion'!$EP$4:$EP$38,"AP",'Status of Curriculum Completion'!$EU$4:$EU$38,"Tentative")</f>
        <v>0</v>
      </c>
      <c r="AS107" s="62">
        <f>SUMIFS('Status of Curriculum Completion'!$DZ$4:$DZ$38,'Status of Curriculum Completion'!$DP$4:$DP$38,"AP",'Status of Curriculum Completion'!$DV$4:$DV$38,"Complete")+SUMIFS('Status of Curriculum Completion'!$EM$4:$EM$38,'Status of Curriculum Completion'!$EC$4:$EC$38,"AP",'Status of Curriculum Completion'!$EI$4:$EI$38,"Complete")+SUMIFS('Status of Curriculum Completion'!$EZ$4:$EZ$38,'Status of Curriculum Completion'!$EP$4:$EP$38,"AP",'Status of Curriculum Completion'!$EV$4:$EV$38,"Complete")</f>
        <v>0</v>
      </c>
      <c r="AT107" s="62">
        <f>SUMIFS('Status of Curriculum Completion'!$DZ$4:$DZ$38,'Status of Curriculum Completion'!$DP$4:$DP$38,"AP",'Status of Curriculum Completion'!$DV$4:$DV$38,"In Progress")+SUMIFS('Status of Curriculum Completion'!$EM$4:$EM$38,'Status of Curriculum Completion'!$EC$4:$EC$38,"AP",'Status of Curriculum Completion'!$EI$4:$EI$38,"In Progress")+SUMIFS('Status of Curriculum Completion'!$EZ$4:$EZ$38,'Status of Curriculum Completion'!$EP$4:$EP$38,"AP",'Status of Curriculum Completion'!$EV$4:$EV$38,"In Progress")</f>
        <v>0</v>
      </c>
      <c r="AU107" s="62">
        <f>SUMIFS('Status of Curriculum Completion'!$DZ$4:$DZ$38,'Status of Curriculum Completion'!$DP$4:$DP$38,"AP",'Status of Curriculum Completion'!$DV$4:$DV$38,"Planned")+SUMIFS('Status of Curriculum Completion'!$EM$4:$EM$38,'Status of Curriculum Completion'!$EC$4:$EC$38,"AP",'Status of Curriculum Completion'!$EI$4:$EI$38,"Planned")+SUMIFS('Status of Curriculum Completion'!$EZ$4:$EZ$38,'Status of Curriculum Completion'!$EP$4:$EP$38,"AP",'Status of Curriculum Completion'!$EV$4:$EV$38,"Planned")</f>
        <v>18</v>
      </c>
      <c r="AV107" s="62">
        <f>SUMIFS('Status of Curriculum Completion'!$DZ$4:$DZ$38,'Status of Curriculum Completion'!$DP$4:$DP$38,"AP",'Status of Curriculum Completion'!$DV$4:$DV$38,"Tentative")+SUMIFS('Status of Curriculum Completion'!$EM$4:$EM$38,'Status of Curriculum Completion'!$EC$4:$EC$38,"AP",'Status of Curriculum Completion'!$EI$4:$EI$38,"Tentative")+SUMIFS('Status of Curriculum Completion'!$EZ$4:$EZ$38,'Status of Curriculum Completion'!$EP$4:$EP$38,"AP",'Status of Curriculum Completion'!$EV$4:$EV$38,"Tentative")</f>
        <v>0</v>
      </c>
    </row>
    <row r="108" spans="3:48" ht="29.5" hidden="1" thickBot="1">
      <c r="C108" s="63" t="s">
        <v>1635</v>
      </c>
      <c r="D108" s="59">
        <f>SUMIFS('Status of Curriculum Completion'!$M$4:$M$38,'Status of Curriculum Completion'!$C$4:$C$38,"Geo China",'Status of Curriculum Completion'!$G$4:$G$38,"Complete")+SUMIFS('Status of Curriculum Completion'!$Z$4:$Z$38,'Status of Curriculum Completion'!$P$4:$P$38,"Geo China",'Status of Curriculum Completion'!$T$4:$T$38,"Complete")+SUMIFS('Status of Curriculum Completion'!$AM$4:$AM$38,'Status of Curriculum Completion'!$AC$4:$AC$38,"Geo China",'Status of Curriculum Completion'!$AG$4:$AG$38,"Complete")</f>
        <v>0</v>
      </c>
      <c r="E108" s="59">
        <f>SUMIFS('Status of Curriculum Completion'!$M$4:$M$38,'Status of Curriculum Completion'!$C$4:$C$38,"Geo China",'Status of Curriculum Completion'!$G$4:$G$38,"In progress")+SUMIFS('Status of Curriculum Completion'!$Z$4:$Z$38,'Status of Curriculum Completion'!$P$4:$P$38,"Geo China",'Status of Curriculum Completion'!$T$4:$T$38,"In progress")+SUMIFS('Status of Curriculum Completion'!$AM$4:$AM$38,'Status of Curriculum Completion'!$AC$4:$AC$38,"Geo China",'Status of Curriculum Completion'!$AG$4:$AG$38,"In progress")</f>
        <v>0</v>
      </c>
      <c r="F108" s="59">
        <f>SUMIFS('Status of Curriculum Completion'!$M$4:$M$38,'Status of Curriculum Completion'!$C$4:$C$38,"Geo China",'Status of Curriculum Completion'!$G$4:$G$38,"Planned")+SUMIFS('Status of Curriculum Completion'!$Z$4:$Z$38,'Status of Curriculum Completion'!$P$4:$P$38,"Geo China",'Status of Curriculum Completion'!$T$4:$T$38,"Planned")+SUMIFS('Status of Curriculum Completion'!$AM$4:$AM$38,'Status of Curriculum Completion'!$AC$4:$AC$38,"Geo China",'Status of Curriculum Completion'!$AG$4:$AG$38,"Planned")</f>
        <v>0</v>
      </c>
      <c r="G108" s="59">
        <f>SUMIFS('Status of Curriculum Completion'!$M$4:$M$38,'Status of Curriculum Completion'!$C$4:$C$38,"Geo China",'Status of Curriculum Completion'!$H$4:$H$38,"Complete")+SUMIFS('Status of Curriculum Completion'!$Z$4:$Z$38,'Status of Curriculum Completion'!$P$4:$P$38,"Geo China",'Status of Curriculum Completion'!$U$4:$U$38,"Complete")+SUMIFS('Status of Curriculum Completion'!$AM$4:$AM$38,'Status of Curriculum Completion'!$AC$4:$AC$38,"Geo China",'Status of Curriculum Completion'!$AH$4:$AH$38,"Complete")</f>
        <v>0</v>
      </c>
      <c r="H108" s="59">
        <f>SUMIFS('Status of Curriculum Completion'!$M$4:$M$38,'Status of Curriculum Completion'!$C$4:$C$38,"Geo China",'Status of Curriculum Completion'!$H$4:$H$38,"In Progress")+SUMIFS('Status of Curriculum Completion'!$Z$4:$Z$38,'Status of Curriculum Completion'!$P$4:$P$38,"Geo China",'Status of Curriculum Completion'!$U$4:$U$38,"In Progress")+SUMIFS('Status of Curriculum Completion'!$AM$4:$AM$38,'Status of Curriculum Completion'!$AC$4:$AC$38,"Geo China",'Status of Curriculum Completion'!$AH$4:$AH$38,"In Progress")</f>
        <v>0</v>
      </c>
      <c r="I108" s="59">
        <f>SUMIFS('Status of Curriculum Completion'!$M$4:$M$38,'Status of Curriculum Completion'!$C$4:$C$38,"Geo China",'Status of Curriculum Completion'!$H$4:$H$38,"Planned")+SUMIFS('Status of Curriculum Completion'!$Z$4:$Z$38,'Status of Curriculum Completion'!$P$4:$P$38,"Geo China",'Status of Curriculum Completion'!$U$4:$U$38,"Planned")+SUMIFS('Status of Curriculum Completion'!$AM$4:$AM$38,'Status of Curriculum Completion'!$AC$4:$AC$38,"Geo China",'Status of Curriculum Completion'!$AH$4:$AH$38,"Planned")</f>
        <v>0</v>
      </c>
      <c r="J108" s="59">
        <f>SUMIFS('Status of Curriculum Completion'!$M$4:$M$38,'Status of Curriculum Completion'!$C$4:$C$38,"Geo China",'Status of Curriculum Completion'!$I$4:$I$38,"Complete")+SUMIFS('Status of Curriculum Completion'!$Z$4:$Z$38,'Status of Curriculum Completion'!$P$4:$P$38,"Geo China",'Status of Curriculum Completion'!$V$4:$V$38,"Complete")+SUMIFS('Status of Curriculum Completion'!$AM$4:$AM$38,'Status of Curriculum Completion'!$AC$4:$AC$38,"Geo China",'Status of Curriculum Completion'!$AI$4:$AI$38,"Complete")</f>
        <v>0</v>
      </c>
      <c r="K108" s="59">
        <f>SUMIFS('Status of Curriculum Completion'!$M$4:$M$38,'Status of Curriculum Completion'!$C$4:$C$38,"Geo China",'Status of Curriculum Completion'!$I$4:$I$38,"In Progress")+SUMIFS('Status of Curriculum Completion'!$Z$4:$Z$38,'Status of Curriculum Completion'!$P$4:$P$38,"Geo China",'Status of Curriculum Completion'!$V$4:$V$38,"In Progress")+SUMIFS('Status of Curriculum Completion'!$AM$4:$AM$38,'Status of Curriculum Completion'!$AC$4:$AC$38,"Geo China",'Status of Curriculum Completion'!$AI$4:$AI$38,"In Progress")</f>
        <v>0</v>
      </c>
      <c r="L108" s="59">
        <f>SUMIFS('Status of Curriculum Completion'!$M$4:$M$38,'Status of Curriculum Completion'!$C$4:$C$38,"Geo China",'Status of Curriculum Completion'!$I$4:$I$38,"Planned")+SUMIFS('Status of Curriculum Completion'!$Z$4:$Z$38,'Status of Curriculum Completion'!$P$4:$P$38,"Geo China",'Status of Curriculum Completion'!$V$4:$V$38,"Planned")+SUMIFS('Status of Curriculum Completion'!$AM$4:$AM$38,'Status of Curriculum Completion'!$AC$4:$AC$38,"Geo China",'Status of Curriculum Completion'!$AI$4:$AI$38,"Planned")</f>
        <v>0</v>
      </c>
      <c r="M108" s="60">
        <f>SUMIFS('Status of Curriculum Completion'!$AZ$4:$AZ$38,'Status of Curriculum Completion'!$AP$4:$AP$38,"Geo China",'Status of Curriculum Completion'!$AT$4:$AT$38,"Complete")+SUMIFS('Status of Curriculum Completion'!$BM$4:$BM$38,'Status of Curriculum Completion'!$BC$4:$BC$38,"Geo China",'Status of Curriculum Completion'!$BG$4:$BG$38,"Complete")+SUMIFS('Status of Curriculum Completion'!$BZ$4:$BZ$38,'Status of Curriculum Completion'!$BP$4:$BP$38,"Geo China",'Status of Curriculum Completion'!$BT$4:$BT$38,"Complete")</f>
        <v>18</v>
      </c>
      <c r="N108" s="60">
        <f>SUMIFS('Status of Curriculum Completion'!$AZ$4:$AZ$38,'Status of Curriculum Completion'!$AP$4:$AP$38,"Geo China",'Status of Curriculum Completion'!$AT$4:$AT$38,"In Progress")+SUMIFS('Status of Curriculum Completion'!$BM$4:$BM$38,'Status of Curriculum Completion'!$BC$4:$BC$38,"Geo China",'Status of Curriculum Completion'!$BG$4:$BG$38,"In Progress")+SUMIFS('Status of Curriculum Completion'!$BZ$4:$BZ$38,'Status of Curriculum Completion'!$BP$4:$BP$38,"Geo China",'Status of Curriculum Completion'!$BT$4:$BT$38,"In Progress")</f>
        <v>0</v>
      </c>
      <c r="O108" s="60">
        <f>SUMIFS('Status of Curriculum Completion'!$AZ$4:$AZ$38,'Status of Curriculum Completion'!$AP$4:$AP$38,"Geo China",'Status of Curriculum Completion'!$AT$4:$AT$38,"Planned")+SUMIFS('Status of Curriculum Completion'!$BM$4:$BM$38,'Status of Curriculum Completion'!$BC$4:$BC$38,"Geo China",'Status of Curriculum Completion'!$BG$4:$BG$38,"Planned")+SUMIFS('Status of Curriculum Completion'!$BZ$4:$BZ$38,'Status of Curriculum Completion'!$BP$4:$BP$38,"Geo China",'Status of Curriculum Completion'!$BT$4:$BT$38,"Planned")</f>
        <v>0</v>
      </c>
      <c r="P108" s="60">
        <f>SUMIFS('Status of Curriculum Completion'!$AZ$4:$AZ$38,'Status of Curriculum Completion'!$AP$4:$AP$38,"Geo China",'Status of Curriculum Completion'!$AU$4:$AU$38,"Complete")+SUMIFS('Status of Curriculum Completion'!$BM$4:$BM$38,'Status of Curriculum Completion'!$BC$4:$BC$38,"Geo China",'Status of Curriculum Completion'!$BH$4:$BH$38,"Complete")+SUMIFS('Status of Curriculum Completion'!$BZ$4:$BZ$38,'Status of Curriculum Completion'!$BP$4:$BP$38,"Geo China",'Status of Curriculum Completion'!$BU$4:$BU$38,"Complete")</f>
        <v>18</v>
      </c>
      <c r="Q108" s="60">
        <f>SUMIFS('Status of Curriculum Completion'!$AZ$4:$AZ$38,'Status of Curriculum Completion'!$AP$4:$AP$38,"Geo China",'Status of Curriculum Completion'!$AU$4:$AU$38,"In Progress")+SUMIFS('Status of Curriculum Completion'!$BM$4:$BM$38,'Status of Curriculum Completion'!$BC$4:$BC$38,"Geo China",'Status of Curriculum Completion'!$BH$4:$BH$38,"In Progress")+SUMIFS('Status of Curriculum Completion'!$BZ$4:$BZ$38,'Status of Curriculum Completion'!$BP$4:$BP$38,"Geo China",'Status of Curriculum Completion'!$BU$4:$BU$38,"In Progress")</f>
        <v>0</v>
      </c>
      <c r="R108" s="60">
        <f>SUMIFS('Status of Curriculum Completion'!$AZ$4:$AZ$38,'Status of Curriculum Completion'!$AP$4:$AP$38,"Geo China",'Status of Curriculum Completion'!$AU$4:$AU$38,"Planned")+SUMIFS('Status of Curriculum Completion'!$BM$4:$BM$38,'Status of Curriculum Completion'!$BC$4:$BC$38,"Geo China",'Status of Curriculum Completion'!$BH$4:$BH$38,"Planned")+SUMIFS('Status of Curriculum Completion'!$BZ$4:$BZ$38,'Status of Curriculum Completion'!$BP$4:$BP$38,"Geo China",'Status of Curriculum Completion'!$BU$4:$BU$38,"Planned")</f>
        <v>0</v>
      </c>
      <c r="S108" s="60">
        <f>SUMIFS('Status of Curriculum Completion'!$AZ$4:$AZ$38,'Status of Curriculum Completion'!$AP$4:$AP$38,"Geo China",'Status of Curriculum Completion'!$AV$4:$AV$38,"Complete")+SUMIFS('Status of Curriculum Completion'!$BM$4:$BM$38,'Status of Curriculum Completion'!$BC$4:$BC$38,"Geo China",'Status of Curriculum Completion'!$BI$4:$BI$38,"Complete")+SUMIFS('Status of Curriculum Completion'!$BZ$4:$BZ$38,'Status of Curriculum Completion'!$BP$4:$BP$38,"Geo China",'Status of Curriculum Completion'!$BV$4:$BV$38,"Complete")</f>
        <v>18</v>
      </c>
      <c r="T108" s="60">
        <f>SUMIFS('Status of Curriculum Completion'!$AZ$4:$AZ$38,'Status of Curriculum Completion'!$AP$4:$AP$38,"Geo China",'Status of Curriculum Completion'!$AV$4:$AV$38,"In Progress")+SUMIFS('Status of Curriculum Completion'!$BM$4:$BM$38,'Status of Curriculum Completion'!$BC$4:$BC$38,"Geo China",'Status of Curriculum Completion'!$BI$4:$BI$38,"In Progress")+SUMIFS('Status of Curriculum Completion'!$BZ$4:$BZ$38,'Status of Curriculum Completion'!$BP$4:$BP$38,"Geo China",'Status of Curriculum Completion'!$BV$4:$BV$38,"In Progress")</f>
        <v>0</v>
      </c>
      <c r="U108" s="60">
        <f>SUMIFS('Status of Curriculum Completion'!$AZ$4:$AZ$38,'Status of Curriculum Completion'!$AP$4:$AP$38,"Geo China",'Status of Curriculum Completion'!$AV$4:$AV$38,"Planned")+SUMIFS('Status of Curriculum Completion'!$BM$4:$BM$38,'Status of Curriculum Completion'!$BC$4:$BC$38,"Geo China",'Status of Curriculum Completion'!$BI$4:$BI$38,"Planned")+SUMIFS('Status of Curriculum Completion'!$BZ$4:$BZ$38,'Status of Curriculum Completion'!$BP$4:$BP$38,"Geo China",'Status of Curriculum Completion'!$BV$4:$BV$38,"Planned")</f>
        <v>0</v>
      </c>
      <c r="V108" s="58"/>
      <c r="W108"/>
      <c r="X108" s="63" t="s">
        <v>1635</v>
      </c>
      <c r="Y108" s="61">
        <f>SUMIFS('Status of Curriculum Completion'!$CM$4:$CM$38,'Status of Curriculum Completion'!$CC$4:$CC$38,"Geo China",'Status of Curriculum Completion'!$CG$4:$CG$38,"Complete")+SUMIFS('Status of Curriculum Completion'!$CZ$4:$CZ$38,'Status of Curriculum Completion'!$CP$4:$CP$38,"Geo China",'Status of Curriculum Completion'!$CT$4:$CT$38,"Complete")+SUMIFS('Status of Curriculum Completion'!$DM$4:$DM$38,'Status of Curriculum Completion'!$DC$4:$DC$38,"Geo China",'Status of Curriculum Completion'!$DG$4:$DG$38,"Complete")</f>
        <v>48</v>
      </c>
      <c r="Z108" s="61">
        <f>SUMIFS('Status of Curriculum Completion'!$CM$4:$CM$38,'Status of Curriculum Completion'!$CC$4:$CC$38,"Geo China",'Status of Curriculum Completion'!$CG$4:$CG$38,"In Progress")+SUMIFS('Status of Curriculum Completion'!$CZ$4:$CZ$38,'Status of Curriculum Completion'!$CP$4:$CP$38,"Geo China",'Status of Curriculum Completion'!$CT$4:$CT$38,"In Progress")+SUMIFS('Status of Curriculum Completion'!$DM$4:$DM$38,'Status of Curriculum Completion'!$DC$4:$DC$38,"Geo China",'Status of Curriculum Completion'!$DG$4:$DG$38,"In Progress")</f>
        <v>0</v>
      </c>
      <c r="AA108" s="61">
        <f>SUMIFS('Status of Curriculum Completion'!$CM$4:$CM$38,'Status of Curriculum Completion'!$CC$4:$CC$38,"Geo China",'Status of Curriculum Completion'!$CG$4:$CG$38,"Planned")+SUMIFS('Status of Curriculum Completion'!$CZ$4:$CZ$38,'Status of Curriculum Completion'!$CP$4:$CP$38,"Geo China",'Status of Curriculum Completion'!$CT$4:$CT$38,"Planned")+SUMIFS('Status of Curriculum Completion'!$DM$4:$DM$38,'Status of Curriculum Completion'!$DC$4:$DC$38,"Geo China",'Status of Curriculum Completion'!$DG$4:$DG$38,"Planned")</f>
        <v>0</v>
      </c>
      <c r="AB108" s="61">
        <f>SUMIFS('Status of Curriculum Completion'!$CM$4:$CM$38,'Status of Curriculum Completion'!$CC$4:$CC$38,"Geo China",'Status of Curriculum Completion'!$CG$4:$CG$38,"Tentative")+SUMIFS('Status of Curriculum Completion'!$CZ$4:$CZ$38,'Status of Curriculum Completion'!$CP$4:$CP$38,"Geo China",'Status of Curriculum Completion'!$CT$4:$CT$38,"Tentative")+SUMIFS('Status of Curriculum Completion'!$DM$4:$DM$38,'Status of Curriculum Completion'!$DC$4:$DC$38,"Geo China",'Status of Curriculum Completion'!$DG$4:$DG$38,"Tentative")</f>
        <v>0</v>
      </c>
      <c r="AC108" s="61">
        <f>SUMIFS('Status of Curriculum Completion'!$CM$4:$CM$38,'Status of Curriculum Completion'!$CC$4:$CC$38,"Geo China",'Status of Curriculum Completion'!$CH$4:$CH$38,"Complete")+SUMIFS('Status of Curriculum Completion'!$CZ$4:$CZ$38,'Status of Curriculum Completion'!$CP$4:$CP$38,"Geo China",'Status of Curriculum Completion'!$CU$4:$CU$38,"Complete")+SUMIFS('Status of Curriculum Completion'!$DM$4:$DM$38,'Status of Curriculum Completion'!$DC$4:$DC$38,"Geo China",'Status of Curriculum Completion'!$DH$4:$DH$38,"Complete")</f>
        <v>48</v>
      </c>
      <c r="AD108" s="61">
        <f>SUMIFS('Status of Curriculum Completion'!$CM$4:$CM$38,'Status of Curriculum Completion'!$CC$4:$CC$38,"Geo China",'Status of Curriculum Completion'!$CH$4:$CH$38,"In Progress")+SUMIFS('Status of Curriculum Completion'!$CZ$4:$CZ$38,'Status of Curriculum Completion'!$CP$4:$CP$38,"Geo China",'Status of Curriculum Completion'!$CU$4:$CU$38,"In Progress")+SUMIFS('Status of Curriculum Completion'!$DM$4:$DM$38,'Status of Curriculum Completion'!$DC$4:$DC$38,"Geo China",'Status of Curriculum Completion'!$DH$4:$DH$38,"In Progress")</f>
        <v>0</v>
      </c>
      <c r="AE108" s="61">
        <f>SUMIFS('Status of Curriculum Completion'!$CM$4:$CM$38,'Status of Curriculum Completion'!$CC$4:$CC$38,"Geo China",'Status of Curriculum Completion'!$CH$4:$CH$38,"Planned")+SUMIFS('Status of Curriculum Completion'!$CZ$4:$CZ$38,'Status of Curriculum Completion'!$CP$4:$CP$38,"Geo China",'Status of Curriculum Completion'!$CU$4:$CU$38,"Planned")+SUMIFS('Status of Curriculum Completion'!$DM$4:$DM$38,'Status of Curriculum Completion'!$DC$4:$DC$38,"Geo China",'Status of Curriculum Completion'!$DH$4:$DH$38,"Planned")</f>
        <v>0</v>
      </c>
      <c r="AF108" s="61">
        <f>SUMIFS('Status of Curriculum Completion'!$CM$4:$CM$38,'Status of Curriculum Completion'!$CC$4:$CC$38,"Geo China",'Status of Curriculum Completion'!$CH$4:$CH$38,"Tentative")+SUMIFS('Status of Curriculum Completion'!$CZ$4:$CZ$38,'Status of Curriculum Completion'!$CP$4:$CP$38,"Geo China",'Status of Curriculum Completion'!$CU$4:$CU$38,"Tentative")+SUMIFS('Status of Curriculum Completion'!$DM$4:$DM$38,'Status of Curriculum Completion'!$DC$4:$DC$38,"Geo China",'Status of Curriculum Completion'!$DH$4:$DH$38,"Tentative")</f>
        <v>0</v>
      </c>
      <c r="AG108" s="61">
        <f>SUMIFS('Status of Curriculum Completion'!$CM$4:$CM$38,'Status of Curriculum Completion'!$CC$4:$CC$38,"Geo China",'Status of Curriculum Completion'!$CI$4:$CI$38,"Complete")+SUMIFS('Status of Curriculum Completion'!$CZ$4:$CZ$38,'Status of Curriculum Completion'!$CP$4:$CP$38,"Geo China",'Status of Curriculum Completion'!$CV$4:$CV$38,"Complete")+SUMIFS('Status of Curriculum Completion'!$DM$4:$DM$38,'Status of Curriculum Completion'!$DC$4:$DC$38,"Geo China",'Status of Curriculum Completion'!$DI$4:$DI$38,"Complete")</f>
        <v>2</v>
      </c>
      <c r="AH108" s="61">
        <f>SUMIFS('Status of Curriculum Completion'!$CM$4:$CM$38,'Status of Curriculum Completion'!$CC$4:$CC$38,"Geo China",'Status of Curriculum Completion'!$CI$4:$CI$38,"In Progress")+SUMIFS('Status of Curriculum Completion'!$CZ$4:$CZ$38,'Status of Curriculum Completion'!$CP$4:$CP$38,"Geo China",'Status of Curriculum Completion'!$CV$4:$CV$38,"In Progress")+SUMIFS('Status of Curriculum Completion'!$DM$4:$DM$38,'Status of Curriculum Completion'!$DC$4:$DC$38,"Geo China",'Status of Curriculum Completion'!$DI$4:$DI$38,"In Progress")</f>
        <v>46</v>
      </c>
      <c r="AI108" s="61">
        <f>SUMIFS('Status of Curriculum Completion'!$CM$4:$CM$38,'Status of Curriculum Completion'!$CC$4:$CC$38,"Geo China",'Status of Curriculum Completion'!$CI$4:$CI$38,"Planned")+SUMIFS('Status of Curriculum Completion'!$CZ$4:$CZ$38,'Status of Curriculum Completion'!$CP$4:$CP$38,"Geo China",'Status of Curriculum Completion'!$CV$4:$CV$38,"Planned")+SUMIFS('Status of Curriculum Completion'!$DM$4:$DM$38,'Status of Curriculum Completion'!$DC$4:$DC$38,"Geo China",'Status of Curriculum Completion'!$DI$4:$DI$38,"Planned")</f>
        <v>0</v>
      </c>
      <c r="AJ108" s="61">
        <f>SUMIFS('Status of Curriculum Completion'!$CM$4:$CM$38,'Status of Curriculum Completion'!$CC$4:$CC$38,"Geo China",'Status of Curriculum Completion'!$CI$4:$CI$38,"Tentative")+SUMIFS('Status of Curriculum Completion'!$CZ$4:$CZ$38,'Status of Curriculum Completion'!$CP$4:$CP$38,"Geo China",'Status of Curriculum Completion'!$CV$4:$CV$38,"Tentative")+SUMIFS('Status of Curriculum Completion'!$DM$4:$DM$38,'Status of Curriculum Completion'!$DC$4:$DC$38,"Geo China",'Status of Curriculum Completion'!$DI$4:$DI$38,"Tentative")</f>
        <v>0</v>
      </c>
      <c r="AK108" s="62">
        <f>SUMIFS('Status of Curriculum Completion'!$DZ$4:$DZ$38,'Status of Curriculum Completion'!$DP$4:$DP$38,"Geo China",'Status of Curriculum Completion'!$DT$4:$DT$38,"Complete")+SUMIFS('Status of Curriculum Completion'!$EM$4:$EM$38,'Status of Curriculum Completion'!$EC$4:$EC$38,"Geo China",'Status of Curriculum Completion'!$EG$4:$EG$38,"Complete")+SUMIFS('Status of Curriculum Completion'!$EZ$4:$EZ$38,'Status of Curriculum Completion'!$EP$4:$EP$38,"Geo China",'Status of Curriculum Completion'!$ET$4:$ET$38,"Complete")</f>
        <v>0</v>
      </c>
      <c r="AL108" s="62">
        <f>SUMIFS('Status of Curriculum Completion'!$DZ$4:$DZ$38,'Status of Curriculum Completion'!$DP$4:$DP$38,"Geo China",'Status of Curriculum Completion'!$DT$4:$DT$38,"In Progress")+SUMIFS('Status of Curriculum Completion'!$EM$4:$EM$38,'Status of Curriculum Completion'!$EC$4:$EC$38,"Geo China",'Status of Curriculum Completion'!$EG$4:$EG$38,"In Progress")+SUMIFS('Status of Curriculum Completion'!$EZ$4:$EZ$38,'Status of Curriculum Completion'!$EP$4:$EP$38,"Geo China",'Status of Curriculum Completion'!$ET$4:$ET$38,"In Progress")</f>
        <v>0</v>
      </c>
      <c r="AM108" s="62">
        <f>SUMIFS('Status of Curriculum Completion'!$DZ$4:$DZ$38,'Status of Curriculum Completion'!$DP$4:$DP$38,"Geo China",'Status of Curriculum Completion'!$DT$4:$DT$38,"Planned")+SUMIFS('Status of Curriculum Completion'!$EM$4:$EM$38,'Status of Curriculum Completion'!$EC$4:$EC$38,"Geo China",'Status of Curriculum Completion'!$EG$4:$EG$38,"Planned")+SUMIFS('Status of Curriculum Completion'!$EZ$4:$EZ$38,'Status of Curriculum Completion'!$EP$4:$EP$38,"Geo China",'Status of Curriculum Completion'!$ET$4:$ET$38,"Planned")</f>
        <v>0</v>
      </c>
      <c r="AN108" s="62">
        <f>SUMIFS('Status of Curriculum Completion'!$DZ$4:$DZ$38,'Status of Curriculum Completion'!$DP$4:$DP$38,"Geo China",'Status of Curriculum Completion'!$DT$4:$DT$38,"Tentative")+SUMIFS('Status of Curriculum Completion'!$EM$4:$EM$38,'Status of Curriculum Completion'!$EC$4:$EC$38,"Geo China",'Status of Curriculum Completion'!$EG$4:$EG$38,"Tentative")+SUMIFS('Status of Curriculum Completion'!$EZ$4:$EZ$38,'Status of Curriculum Completion'!$EP$4:$EP$38,"Geo China",'Status of Curriculum Completion'!$ET$4:$ET$38,"Tentative")</f>
        <v>0</v>
      </c>
      <c r="AO108" s="62">
        <f>SUMIFS('Status of Curriculum Completion'!$DZ$4:$DZ$38,'Status of Curriculum Completion'!$DP$4:$DP$38,"Geo China",'Status of Curriculum Completion'!$DU$4:$DU$38,"Complete")+SUMIFS('Status of Curriculum Completion'!$EM$4:$EM$38,'Status of Curriculum Completion'!$EC$4:$EC$38,"Geo China",'Status of Curriculum Completion'!$EH$4:$EH$38,"Complete")+SUMIFS('Status of Curriculum Completion'!$EZ$4:$EZ$38,'Status of Curriculum Completion'!$EP$4:$EP$38,"Geo China",'Status of Curriculum Completion'!$EU$4:$EU$38,"Complete")</f>
        <v>0</v>
      </c>
      <c r="AP108" s="62">
        <f>SUMIFS('Status of Curriculum Completion'!$DZ$4:$DZ$38,'Status of Curriculum Completion'!$DP$4:$DP$38,"Geo China",'Status of Curriculum Completion'!$DU$4:$DU$38,"In Progress")+SUMIFS('Status of Curriculum Completion'!$EM$4:$EM$38,'Status of Curriculum Completion'!$EC$4:$EC$38,"Geo China",'Status of Curriculum Completion'!$EH$4:$EH$38,"In Progress")+SUMIFS('Status of Curriculum Completion'!$EZ$4:$EZ$38,'Status of Curriculum Completion'!$EP$4:$EP$38,"Geo China",'Status of Curriculum Completion'!$EU$4:$EU$38,"In Progress")</f>
        <v>0</v>
      </c>
      <c r="AQ108" s="62">
        <f>SUMIFS('Status of Curriculum Completion'!$DZ$4:$DZ$38,'Status of Curriculum Completion'!$DP$4:$DP$38,"Geo China",'Status of Curriculum Completion'!$DU$4:$DU$38,"Planned")+SUMIFS('Status of Curriculum Completion'!$EM$4:$EM$38,'Status of Curriculum Completion'!$EC$4:$EC$38,"Geo China",'Status of Curriculum Completion'!$EH$4:$EH$38,"Planned")+SUMIFS('Status of Curriculum Completion'!$EZ$4:$EZ$38,'Status of Curriculum Completion'!$EP$4:$EP$38,"Geo China",'Status of Curriculum Completion'!$EU$4:$EU$38,"Planned")</f>
        <v>0</v>
      </c>
      <c r="AR108" s="62">
        <f>SUMIFS('Status of Curriculum Completion'!$DZ$4:$DZ$38,'Status of Curriculum Completion'!$DP$4:$DP$38,"Geo China",'Status of Curriculum Completion'!$DU$4:$DU$38,"Tentative")+SUMIFS('Status of Curriculum Completion'!$EM$4:$EM$38,'Status of Curriculum Completion'!$EC$4:$EC$38,"Geo China",'Status of Curriculum Completion'!$EH$4:$EH$38,"Tentative")+SUMIFS('Status of Curriculum Completion'!$EZ$4:$EZ$38,'Status of Curriculum Completion'!$EP$4:$EP$38,"Geo China",'Status of Curriculum Completion'!$EU$4:$EU$38,"Tentative")</f>
        <v>0</v>
      </c>
      <c r="AS108" s="62">
        <f>SUMIFS('Status of Curriculum Completion'!$DZ$4:$DZ$38,'Status of Curriculum Completion'!$DP$4:$DP$38,"Geo China",'Status of Curriculum Completion'!$DV$4:$DV$38,"Complete")+SUMIFS('Status of Curriculum Completion'!$EM$4:$EM$38,'Status of Curriculum Completion'!$EC$4:$EC$38,"Geo China",'Status of Curriculum Completion'!$EI$4:$EI$38,"Complete")+SUMIFS('Status of Curriculum Completion'!$EZ$4:$EZ$38,'Status of Curriculum Completion'!$EP$4:$EP$38,"Geo China",'Status of Curriculum Completion'!$EV$4:$EV$38,"Complete")</f>
        <v>0</v>
      </c>
      <c r="AT108" s="62">
        <f>SUMIFS('Status of Curriculum Completion'!$DZ$4:$DZ$38,'Status of Curriculum Completion'!$DP$4:$DP$38,"Geo China",'Status of Curriculum Completion'!$DV$4:$DV$38,"In Progress")+SUMIFS('Status of Curriculum Completion'!$EM$4:$EM$38,'Status of Curriculum Completion'!$EC$4:$EC$38,"Geo China",'Status of Curriculum Completion'!$EI$4:$EI$38,"In Progress")+SUMIFS('Status of Curriculum Completion'!$EZ$4:$EZ$38,'Status of Curriculum Completion'!$EP$4:$EP$38,"Geo China",'Status of Curriculum Completion'!$EV$4:$EV$38,"In Progress")</f>
        <v>0</v>
      </c>
      <c r="AU108" s="62">
        <f>SUMIFS('Status of Curriculum Completion'!$DZ$4:$DZ$38,'Status of Curriculum Completion'!$DP$4:$DP$38,"Geo China",'Status of Curriculum Completion'!$DV$4:$DV$38,"Planned")+SUMIFS('Status of Curriculum Completion'!$EM$4:$EM$38,'Status of Curriculum Completion'!$EC$4:$EC$38,"Geo China",'Status of Curriculum Completion'!$EI$4:$EI$38,"Planned")+SUMIFS('Status of Curriculum Completion'!$EZ$4:$EZ$38,'Status of Curriculum Completion'!$EP$4:$EP$38,"Geo China",'Status of Curriculum Completion'!$EV$4:$EV$38,"Planned")</f>
        <v>0</v>
      </c>
      <c r="AV108" s="62">
        <f>SUMIFS('Status of Curriculum Completion'!$DZ$4:$DZ$38,'Status of Curriculum Completion'!$DP$4:$DP$38,"Geo China",'Status of Curriculum Completion'!$DV$4:$DV$38,"Tentative")+SUMIFS('Status of Curriculum Completion'!$EM$4:$EM$38,'Status of Curriculum Completion'!$EC$4:$EC$38,"Geo China",'Status of Curriculum Completion'!$EI$4:$EI$38,"Tentative")+SUMIFS('Status of Curriculum Completion'!$EZ$4:$EZ$38,'Status of Curriculum Completion'!$EP$4:$EP$38,"Geo China",'Status of Curriculum Completion'!$EV$4:$EV$38,"Tentative")</f>
        <v>0</v>
      </c>
    </row>
    <row r="109" spans="3:48" ht="29.5" hidden="1" thickBot="1">
      <c r="C109" s="63" t="s">
        <v>1636</v>
      </c>
      <c r="D109" s="59">
        <f>SUMIFS('Status of Curriculum Completion'!$M$4:$M$38,'Status of Curriculum Completion'!$C$4:$C$38,"Japan",'Status of Curriculum Completion'!$G$4:$G$38,"Complete")+SUMIFS('Status of Curriculum Completion'!$Z$4:$Z$38,'Status of Curriculum Completion'!$P$4:$P$38,"Japan",'Status of Curriculum Completion'!$T$4:$T$38,"Complete")+SUMIFS('Status of Curriculum Completion'!$AM$4:$AM$38,'Status of Curriculum Completion'!$AC$4:$AC$38,"Japan",'Status of Curriculum Completion'!$AG$4:$AG$38,"Complete")</f>
        <v>0</v>
      </c>
      <c r="E109" s="59">
        <f>SUMIFS('Status of Curriculum Completion'!$M$4:$M$38,'Status of Curriculum Completion'!$C$4:$C$38,"Japan",'Status of Curriculum Completion'!$G$4:$G$38,"In progress")+SUMIFS('Status of Curriculum Completion'!$Z$4:$Z$38,'Status of Curriculum Completion'!$P$4:$P$38,"Japan",'Status of Curriculum Completion'!$T$4:$T$38,"In progress")+SUMIFS('Status of Curriculum Completion'!$AM$4:$AM$38,'Status of Curriculum Completion'!$AC$4:$AC$38,"Japan",'Status of Curriculum Completion'!$AG$4:$AG$38,"In progress")</f>
        <v>0</v>
      </c>
      <c r="F109" s="59">
        <f>SUMIFS('Status of Curriculum Completion'!$M$4:$M$38,'Status of Curriculum Completion'!$C$4:$C$38,"Japan",'Status of Curriculum Completion'!$G$4:$G$38,"Planned")+SUMIFS('Status of Curriculum Completion'!$Z$4:$Z$38,'Status of Curriculum Completion'!$P$4:$P$38,"Japan",'Status of Curriculum Completion'!$T$4:$T$38,"Planned")+SUMIFS('Status of Curriculum Completion'!$AM$4:$AM$38,'Status of Curriculum Completion'!$AC$4:$AC$38,"Japan",'Status of Curriculum Completion'!$AG$4:$AG$38,"Planned")</f>
        <v>0</v>
      </c>
      <c r="G109" s="59">
        <f>SUMIFS('Status of Curriculum Completion'!$M$4:$M$38,'Status of Curriculum Completion'!$C$4:$C$38,"Japan",'Status of Curriculum Completion'!$H$4:$H$38,"Complete")+SUMIFS('Status of Curriculum Completion'!$Z$4:$Z$38,'Status of Curriculum Completion'!$P$4:$P$38,"Japan",'Status of Curriculum Completion'!$U$4:$U$38,"Complete")+SUMIFS('Status of Curriculum Completion'!$AM$4:$AM$38,'Status of Curriculum Completion'!$AC$4:$AC$38,"Japan",'Status of Curriculum Completion'!$AH$4:$AH$38,"Complete")</f>
        <v>0</v>
      </c>
      <c r="H109" s="59">
        <f>SUMIFS('Status of Curriculum Completion'!$M$4:$M$38,'Status of Curriculum Completion'!$C$4:$C$38,"Japan",'Status of Curriculum Completion'!$H$4:$H$38,"In Progress")+SUMIFS('Status of Curriculum Completion'!$Z$4:$Z$38,'Status of Curriculum Completion'!$P$4:$P$38,"Japan",'Status of Curriculum Completion'!$U$4:$U$38,"In Progress")+SUMIFS('Status of Curriculum Completion'!$AM$4:$AM$38,'Status of Curriculum Completion'!$AC$4:$AC$38,"Japan",'Status of Curriculum Completion'!$AH$4:$AH$38,"In Progress")</f>
        <v>0</v>
      </c>
      <c r="I109" s="59">
        <f>SUMIFS('Status of Curriculum Completion'!$M$4:$M$38,'Status of Curriculum Completion'!$C$4:$C$38,"Japan",'Status of Curriculum Completion'!$H$4:$H$38,"Planned")+SUMIFS('Status of Curriculum Completion'!$Z$4:$Z$38,'Status of Curriculum Completion'!$P$4:$P$38,"Japan",'Status of Curriculum Completion'!$U$4:$U$38,"Planned")+SUMIFS('Status of Curriculum Completion'!$AM$4:$AM$38,'Status of Curriculum Completion'!$AC$4:$AC$38,"Japan",'Status of Curriculum Completion'!$AH$4:$AH$38,"Planned")</f>
        <v>0</v>
      </c>
      <c r="J109" s="59">
        <f>SUMIFS('Status of Curriculum Completion'!$M$4:$M$38,'Status of Curriculum Completion'!$C$4:$C$38,"Japan",'Status of Curriculum Completion'!$I$4:$I$38,"Complete")+SUMIFS('Status of Curriculum Completion'!$Z$4:$Z$38,'Status of Curriculum Completion'!$P$4:$P$38,"Japan",'Status of Curriculum Completion'!$V$5:$V$39,"Complete")+SUMIFS('Status of Curriculum Completion'!$AM$4:$AM$38,'Status of Curriculum Completion'!$AC$4:$AC$38,"Japan",'Status of Curriculum Completion'!$AI$4:$AI$38,"Complete")</f>
        <v>0</v>
      </c>
      <c r="K109" s="59">
        <f>SUMIFS('Status of Curriculum Completion'!$M$4:$M$38,'Status of Curriculum Completion'!$C$4:$C$38,"Japan",'Status of Curriculum Completion'!$I$4:$I$38,"In Progress")+SUMIFS('Status of Curriculum Completion'!$Z$4:$Z$38,'Status of Curriculum Completion'!$P$4:$P$38,"Japan",'Status of Curriculum Completion'!$V$5:$V$39,"In Progress")+SUMIFS('Status of Curriculum Completion'!$AM$4:$AM$38,'Status of Curriculum Completion'!$AC$4:$AC$38,"Japan",'Status of Curriculum Completion'!$AI$4:$AI$38,"In Progress")</f>
        <v>0</v>
      </c>
      <c r="L109" s="59">
        <f>SUMIFS('Status of Curriculum Completion'!$M$4:$M$38,'Status of Curriculum Completion'!$C$4:$C$38,"Japan",'Status of Curriculum Completion'!$I$4:$I$38,"Planned")+SUMIFS('Status of Curriculum Completion'!$Z$4:$Z$38,'Status of Curriculum Completion'!$P$4:$P$38,"Japan",'Status of Curriculum Completion'!$V$5:$V$39,"Planned")+SUMIFS('Status of Curriculum Completion'!$AM$4:$AM$38,'Status of Curriculum Completion'!$AC$4:$AC$38,"Japan",'Status of Curriculum Completion'!$AI$4:$AI$38,"Planned")</f>
        <v>0</v>
      </c>
      <c r="M109" s="60">
        <f>SUMIFS('Status of Curriculum Completion'!$AZ$4:$AZ$38,'Status of Curriculum Completion'!$AP$4:$AP$38,"Japan",'Status of Curriculum Completion'!$AT$4:$AT$38,"Complete")+SUMIFS('Status of Curriculum Completion'!$BM$4:$BM$38,'Status of Curriculum Completion'!$BC$4:$BC$38,"Japan",'Status of Curriculum Completion'!$BG$4:$BG$38,"Complete")+SUMIFS('Status of Curriculum Completion'!$BZ$4:$BZ$38,'Status of Curriculum Completion'!$BP$4:$BP$38,"Japan",'Status of Curriculum Completion'!$BT$4:$BT$38,"Complete")</f>
        <v>520</v>
      </c>
      <c r="N109" s="60">
        <f>SUMIFS('Status of Curriculum Completion'!$AZ$4:$AZ$38,'Status of Curriculum Completion'!$AP$4:$AP$38,"Japan",'Status of Curriculum Completion'!$AT$4:$AT$38,"In Progress")+SUMIFS('Status of Curriculum Completion'!$BM$4:$BM$38,'Status of Curriculum Completion'!$BC$4:$BC$38,"Japan",'Status of Curriculum Completion'!$BG$4:$BG$38,"In Progress")+SUMIFS('Status of Curriculum Completion'!$BZ$4:$BZ$38,'Status of Curriculum Completion'!$BP$4:$BP$38,"Japan",'Status of Curriculum Completion'!$BT$4:$BT$38,"In Progress")</f>
        <v>0</v>
      </c>
      <c r="O109" s="60">
        <f>SUMIFS('Status of Curriculum Completion'!$AZ$4:$AZ$38,'Status of Curriculum Completion'!$AP$4:$AP$38,"Japan",'Status of Curriculum Completion'!$AT$4:$AT$38,"Planned")+SUMIFS('Status of Curriculum Completion'!$BM$4:$BM$38,'Status of Curriculum Completion'!$BC$4:$BC$38,"Japan",'Status of Curriculum Completion'!$BG$4:$BG$38,"Planned")+SUMIFS('Status of Curriculum Completion'!$BZ$4:$BZ$38,'Status of Curriculum Completion'!$BP$4:$BP$38,"Japan",'Status of Curriculum Completion'!$BT$4:$BT$38,"Planned")</f>
        <v>0</v>
      </c>
      <c r="P109" s="60">
        <f>SUMIFS('Status of Curriculum Completion'!$AZ$4:$AZ$38,'Status of Curriculum Completion'!$AP$4:$AP$38,"Japan",'Status of Curriculum Completion'!$AU$4:$AU$38,"Complete")+SUMIFS('Status of Curriculum Completion'!$BM$4:$BM$38,'Status of Curriculum Completion'!$BC$4:$BC$38,"Japan",'Status of Curriculum Completion'!$BH$4:$BH$38,"Complete")+SUMIFS('Status of Curriculum Completion'!$BZ$4:$BZ$38,'Status of Curriculum Completion'!$BP$4:$BP$38,"Japan",'Status of Curriculum Completion'!$BU$4:$BU$38,"Complete")</f>
        <v>520</v>
      </c>
      <c r="Q109" s="60">
        <f>SUMIFS('Status of Curriculum Completion'!$AZ$4:$AZ$38,'Status of Curriculum Completion'!$AP$4:$AP$38,"Japan",'Status of Curriculum Completion'!$AU$4:$AU$38,"In Progress")+SUMIFS('Status of Curriculum Completion'!$BM$4:$BM$38,'Status of Curriculum Completion'!$BC$4:$BC$38,"Japan",'Status of Curriculum Completion'!$BH$4:$BH$38,"In Progress")+SUMIFS('Status of Curriculum Completion'!$BZ$4:$BZ$38,'Status of Curriculum Completion'!$BP$4:$BP$38,"Japan",'Status of Curriculum Completion'!$BU$4:$BU$38,"In Progress")</f>
        <v>0</v>
      </c>
      <c r="R109" s="60">
        <f>SUMIFS('Status of Curriculum Completion'!$AZ$4:$AZ$38,'Status of Curriculum Completion'!$AP$4:$AP$38,"Japan",'Status of Curriculum Completion'!$AU$4:$AU$38,"Planned")+SUMIFS('Status of Curriculum Completion'!$BM$4:$BM$38,'Status of Curriculum Completion'!$BC$4:$BC$38,"Japan",'Status of Curriculum Completion'!$BH$4:$BH$38,"Planned")+SUMIFS('Status of Curriculum Completion'!$BZ$4:$BZ$38,'Status of Curriculum Completion'!$BP$4:$BP$38,"Japan",'Status of Curriculum Completion'!$BU$4:$BU$38,"Planned")</f>
        <v>0</v>
      </c>
      <c r="S109" s="60">
        <f>SUMIFS('Status of Curriculum Completion'!$AZ$4:$AZ$38,'Status of Curriculum Completion'!$AP$4:$AP$38,"Japan",'Status of Curriculum Completion'!$AV$4:$AV$38,"Complete")+SUMIFS('Status of Curriculum Completion'!$BM$4:$BM$38,'Status of Curriculum Completion'!$BC$4:$BC$38,"Japan",'Status of Curriculum Completion'!$BI$4:$BI$38,"Complete")+SUMIFS('Status of Curriculum Completion'!$BZ$4:$BZ$38,'Status of Curriculum Completion'!$BP$4:$BP$38,"Japan",'Status of Curriculum Completion'!$BV$4:$BV$38,"Complete")</f>
        <v>520</v>
      </c>
      <c r="T109" s="60">
        <f>SUMIFS('Status of Curriculum Completion'!$AZ$4:$AZ$38,'Status of Curriculum Completion'!$AP$4:$AP$38,"Japan",'Status of Curriculum Completion'!$AV$4:$AV$38,"In Progress")+SUMIFS('Status of Curriculum Completion'!$BM$4:$BM$38,'Status of Curriculum Completion'!$BC$4:$BC$38,"Japan",'Status of Curriculum Completion'!$BI$4:$BI$38,"In Progress")+SUMIFS('Status of Curriculum Completion'!$BZ$4:$BZ$38,'Status of Curriculum Completion'!$BP$4:$BP$38,"Japan",'Status of Curriculum Completion'!$BV$4:$BV$38,"In Progress")</f>
        <v>0</v>
      </c>
      <c r="U109" s="60">
        <f>SUMIFS('Status of Curriculum Completion'!$AZ$4:$AZ$38,'Status of Curriculum Completion'!$AP$4:$AP$38,"Japan",'Status of Curriculum Completion'!$AV$4:$AV$38,"Planned")+SUMIFS('Status of Curriculum Completion'!$BM$4:$BM$38,'Status of Curriculum Completion'!$BC$4:$BC$38,"Japan",'Status of Curriculum Completion'!$BI$4:$BI$38,"Planned")+SUMIFS('Status of Curriculum Completion'!$BZ$4:$BZ$38,'Status of Curriculum Completion'!$BP$4:$BP$38,"Japan",'Status of Curriculum Completion'!$BV$4:$BV$38,"Planned")</f>
        <v>0</v>
      </c>
      <c r="V109"/>
      <c r="W109"/>
      <c r="X109" s="63" t="s">
        <v>1636</v>
      </c>
      <c r="Y109" s="61">
        <f>SUMIFS('Status of Curriculum Completion'!$CM$4:$CM$38,'Status of Curriculum Completion'!$CC$4:$CC$38,"Japan",'Status of Curriculum Completion'!$CG$4:$CG$38,"Complete")+SUMIFS('Status of Curriculum Completion'!$CZ$4:$CZ$38,'Status of Curriculum Completion'!$CP$4:$CP$38,"Japan",'Status of Curriculum Completion'!$CT$4:$CT$38,"Complete")+SUMIFS('Status of Curriculum Completion'!$DM$4:$DM$38,'Status of Curriculum Completion'!$DC$4:$DC$38,"Japan",'Status of Curriculum Completion'!$DG$4:$DG$38,"Complete")</f>
        <v>0</v>
      </c>
      <c r="Z109" s="61">
        <f>SUMIFS('Status of Curriculum Completion'!$CM$4:$CM$38,'Status of Curriculum Completion'!$CC$4:$CC$38,"Japan",'Status of Curriculum Completion'!$CG$4:$CG$38,"In Progress")+SUMIFS('Status of Curriculum Completion'!$CZ$4:$CZ$38,'Status of Curriculum Completion'!$CP$4:$CP$38,"Japan",'Status of Curriculum Completion'!$CT$4:$CT$38,"In Progress")+SUMIFS('Status of Curriculum Completion'!$DM$4:$DM$38,'Status of Curriculum Completion'!$DC$4:$DC$38,"Japan",'Status of Curriculum Completion'!$DG$4:$DG$38,"In Progress")</f>
        <v>0</v>
      </c>
      <c r="AA109" s="61">
        <f>SUMIFS('Status of Curriculum Completion'!$CM$4:$CM$38,'Status of Curriculum Completion'!$CC$4:$CC$38,"Japan",'Status of Curriculum Completion'!$CG$4:$CG$38,"Planned")+SUMIFS('Status of Curriculum Completion'!$CZ$4:$CZ$38,'Status of Curriculum Completion'!$CP$4:$CP$38,"Japan",'Status of Curriculum Completion'!$CT$4:$CT$38,"Planned")+SUMIFS('Status of Curriculum Completion'!$DM$4:$DM$38,'Status of Curriculum Completion'!$DC$4:$DC$38,"Japan",'Status of Curriculum Completion'!$DG$4:$DG$38,"Planned")</f>
        <v>0</v>
      </c>
      <c r="AB109" s="61">
        <f>SUMIFS('Status of Curriculum Completion'!$CM$4:$CM$38,'Status of Curriculum Completion'!$CC$4:$CC$38,"Japan",'Status of Curriculum Completion'!$CG$4:$CG$38,"Tentative")+SUMIFS('Status of Curriculum Completion'!$CZ$4:$CZ$38,'Status of Curriculum Completion'!$CP$4:$CP$38,"Japan",'Status of Curriculum Completion'!$CT$4:$CT$38,"Tentative")+SUMIFS('Status of Curriculum Completion'!$DM$4:$DM$38,'Status of Curriculum Completion'!$DC$4:$DC$38,"Japan",'Status of Curriculum Completion'!$DG$4:$DG$38,"Tentative")</f>
        <v>0</v>
      </c>
      <c r="AC109" s="61">
        <f>SUMIFS('Status of Curriculum Completion'!$CM$4:$CM$38,'Status of Curriculum Completion'!$CC$4:$CC$38,"Japan",'Status of Curriculum Completion'!$CH$4:$CH$38,"Complete")+SUMIFS('Status of Curriculum Completion'!$CZ$4:$CZ$38,'Status of Curriculum Completion'!$CP$4:$CP$38,"Japan",'Status of Curriculum Completion'!$CU$4:$CU$38,"Complete")+SUMIFS('Status of Curriculum Completion'!$DM$4:$DM$38,'Status of Curriculum Completion'!$DC$4:$DC$38,"Japan",'Status of Curriculum Completion'!$DH$4:$DH$38,"Complete")</f>
        <v>0</v>
      </c>
      <c r="AD109" s="61">
        <f>SUMIFS('Status of Curriculum Completion'!$CM$4:$CM$38,'Status of Curriculum Completion'!$CC$4:$CC$38,"Japan",'Status of Curriculum Completion'!$CH$4:$CH$38,"In Progress")+SUMIFS('Status of Curriculum Completion'!$CZ$4:$CZ$38,'Status of Curriculum Completion'!$CP$4:$CP$38,"Japan",'Status of Curriculum Completion'!$CU$4:$CU$38,"In Progress")+SUMIFS('Status of Curriculum Completion'!$DM$4:$DM$38,'Status of Curriculum Completion'!$DC$4:$DC$38,"Japan",'Status of Curriculum Completion'!$DH$4:$DH$38,"In Progress")</f>
        <v>0</v>
      </c>
      <c r="AE109" s="61">
        <f>SUMIFS('Status of Curriculum Completion'!$CM$4:$CM$38,'Status of Curriculum Completion'!$CC$4:$CC$38,"Japan",'Status of Curriculum Completion'!$CH$4:$CH$38,"Planned")+SUMIFS('Status of Curriculum Completion'!$CZ$4:$CZ$38,'Status of Curriculum Completion'!$CP$4:$CP$38,"Japan",'Status of Curriculum Completion'!$CU$4:$CU$38,"Planned")+SUMIFS('Status of Curriculum Completion'!$DM$4:$DM$38,'Status of Curriculum Completion'!$DC$4:$DC$38,"Japan",'Status of Curriculum Completion'!$DH$4:$DH$38,"Planned")</f>
        <v>0</v>
      </c>
      <c r="AF109" s="61">
        <f>SUMIFS('Status of Curriculum Completion'!$CM$4:$CM$38,'Status of Curriculum Completion'!$CC$4:$CC$38,"Japan",'Status of Curriculum Completion'!$CH$4:$CH$38,"Tentative")+SUMIFS('Status of Curriculum Completion'!$CZ$4:$CZ$38,'Status of Curriculum Completion'!$CP$4:$CP$38,"Japan",'Status of Curriculum Completion'!$CU$4:$CU$38,"Tentative")+SUMIFS('Status of Curriculum Completion'!$DM$4:$DM$38,'Status of Curriculum Completion'!$DC$4:$DC$38,"Japan",'Status of Curriculum Completion'!$DH$4:$DH$38,"Tentative")</f>
        <v>0</v>
      </c>
      <c r="AG109" s="61">
        <f>SUMIFS('Status of Curriculum Completion'!$CM$4:$CM$38,'Status of Curriculum Completion'!$CC$4:$CC$38,"Japan",'Status of Curriculum Completion'!$CI$4:$CI$38,"Complete")+SUMIFS('Status of Curriculum Completion'!$CZ$4:$CZ$38,'Status of Curriculum Completion'!$CP$4:$CP$38,"Japan",'Status of Curriculum Completion'!$CV$4:$CV$38,"Complete")+SUMIFS('Status of Curriculum Completion'!$DM$4:$DM$38,'Status of Curriculum Completion'!$DC$4:$DC$38,"Japan",'Status of Curriculum Completion'!$DI$4:$DI$38,"Complete")</f>
        <v>0</v>
      </c>
      <c r="AH109" s="61">
        <f>SUMIFS('Status of Curriculum Completion'!$CM$4:$CM$38,'Status of Curriculum Completion'!$CC$4:$CC$38,"Japan",'Status of Curriculum Completion'!$CI$4:$CI$38,"In Progress")+SUMIFS('Status of Curriculum Completion'!$CZ$4:$CZ$38,'Status of Curriculum Completion'!$CP$4:$CP$38,"Japan",'Status of Curriculum Completion'!$CV$4:$CV$38,"In Progress")+SUMIFS('Status of Curriculum Completion'!$DM$4:$DM$38,'Status of Curriculum Completion'!$DC$4:$DC$38,"Japan",'Status of Curriculum Completion'!$DI$4:$DI$38,"In Progress")</f>
        <v>0</v>
      </c>
      <c r="AI109" s="61">
        <f>SUMIFS('Status of Curriculum Completion'!$CM$4:$CM$38,'Status of Curriculum Completion'!$CC$4:$CC$38,"Japan",'Status of Curriculum Completion'!$CI$4:$CI$38,"Planned")+SUMIFS('Status of Curriculum Completion'!$CZ$4:$CZ$38,'Status of Curriculum Completion'!$CP$4:$CP$38,"Japan",'Status of Curriculum Completion'!$CV$4:$CV$38,"Planned")+SUMIFS('Status of Curriculum Completion'!$DM$4:$DM$38,'Status of Curriculum Completion'!$DC$4:$DC$38,"Japan",'Status of Curriculum Completion'!$DI$4:$DI$38,"Planned")</f>
        <v>0</v>
      </c>
      <c r="AJ109" s="61">
        <f>SUMIFS('Status of Curriculum Completion'!$CM$4:$CM$38,'Status of Curriculum Completion'!$CC$4:$CC$38,"Japan",'Status of Curriculum Completion'!$CI$4:$CI$38,"Tentative")+SUMIFS('Status of Curriculum Completion'!$CZ$4:$CZ$38,'Status of Curriculum Completion'!$CP$4:$CP$38,"Japan",'Status of Curriculum Completion'!$CV$4:$CV$38,"Tentative")+SUMIFS('Status of Curriculum Completion'!$DM$4:$DM$38,'Status of Curriculum Completion'!$DC$4:$DC$38,"Japan",'Status of Curriculum Completion'!$DI$4:$DI$38,"Tentative")</f>
        <v>0</v>
      </c>
      <c r="AK109" s="62">
        <f>SUMIFS('Status of Curriculum Completion'!$DZ$4:$DZ$38,'Status of Curriculum Completion'!$DP$4:$DP$38,"Japan",'Status of Curriculum Completion'!$DT$4:$DT$38,"Complete")+SUMIFS('Status of Curriculum Completion'!$EM$4:$EM$38,'Status of Curriculum Completion'!$EC$4:$EC$38,"Japan",'Status of Curriculum Completion'!$EG$4:$EG$38,"Complete")+SUMIFS('Status of Curriculum Completion'!$EZ$4:$EZ$38,'Status of Curriculum Completion'!$EP$4:$EP$38,"Japan",'Status of Curriculum Completion'!$ET$4:$ET$38,"Complete")</f>
        <v>20</v>
      </c>
      <c r="AL109" s="62">
        <f>SUMIFS('Status of Curriculum Completion'!$DZ$4:$DZ$38,'Status of Curriculum Completion'!$DP$4:$DP$38,"Japan",'Status of Curriculum Completion'!$DT$4:$DT$38,"In Progress")+SUMIFS('Status of Curriculum Completion'!$EM$4:$EM$38,'Status of Curriculum Completion'!$EC$4:$EC$38,"Japan",'Status of Curriculum Completion'!$EG$4:$EG$38,"In Progress")+SUMIFS('Status of Curriculum Completion'!$EZ$4:$EZ$38,'Status of Curriculum Completion'!$EP$4:$EP$38,"Japan",'Status of Curriculum Completion'!$ET$4:$ET$38,"In Progress")</f>
        <v>0</v>
      </c>
      <c r="AM109" s="62">
        <f>SUMIFS('Status of Curriculum Completion'!$DZ$4:$DZ$38,'Status of Curriculum Completion'!$DP$4:$DP$38,"Japan",'Status of Curriculum Completion'!$DT$4:$DT$38,"Planned")+SUMIFS('Status of Curriculum Completion'!$EM$4:$EM$38,'Status of Curriculum Completion'!$EC$4:$EC$38,"Japan",'Status of Curriculum Completion'!$EG$4:$EG$38,"Planned")+SUMIFS('Status of Curriculum Completion'!$EZ$4:$EZ$38,'Status of Curriculum Completion'!$EP$4:$EP$38,"Japan",'Status of Curriculum Completion'!$ET$4:$ET$38,"Planned")</f>
        <v>0</v>
      </c>
      <c r="AN109" s="62">
        <f>SUMIFS('Status of Curriculum Completion'!$DZ$4:$DZ$38,'Status of Curriculum Completion'!$DP$4:$DP$38,"Japan",'Status of Curriculum Completion'!$DT$4:$DT$38,"Tentative")+SUMIFS('Status of Curriculum Completion'!$EM$4:$EM$38,'Status of Curriculum Completion'!$EC$4:$EC$38,"Japan",'Status of Curriculum Completion'!$EG$4:$EG$38,"Tentative")+SUMIFS('Status of Curriculum Completion'!$EZ$4:$EZ$38,'Status of Curriculum Completion'!$EP$4:$EP$38,"Japan",'Status of Curriculum Completion'!$ET$4:$ET$38,"Tentative")</f>
        <v>0</v>
      </c>
      <c r="AO109" s="62">
        <f>SUMIFS('Status of Curriculum Completion'!$DZ$4:$DZ$38,'Status of Curriculum Completion'!$DP$4:$DP$38,"Japan",'Status of Curriculum Completion'!$DU$4:$DU$38,"Complete")+SUMIFS('Status of Curriculum Completion'!$EM$4:$EM$38,'Status of Curriculum Completion'!$EC$4:$EC$38,"Japan",'Status of Curriculum Completion'!$EH$4:$EH$38,"Complete")+SUMIFS('Status of Curriculum Completion'!$EZ$4:$EZ$38,'Status of Curriculum Completion'!$EP$4:$EP$38,"Japan",'Status of Curriculum Completion'!$EU$4:$EU$38,"Complete")</f>
        <v>20</v>
      </c>
      <c r="AP109" s="62">
        <f>SUMIFS('Status of Curriculum Completion'!$DZ$4:$DZ$38,'Status of Curriculum Completion'!$DP$4:$DP$38,"Japan",'Status of Curriculum Completion'!$DU$4:$DU$38,"In Progress")+SUMIFS('Status of Curriculum Completion'!$EM$4:$EM$38,'Status of Curriculum Completion'!$EC$4:$EC$38,"Japan",'Status of Curriculum Completion'!$EH$4:$EH$38,"In Progress")+SUMIFS('Status of Curriculum Completion'!$EZ$4:$EZ$38,'Status of Curriculum Completion'!$EP$4:$EP$38,"Japan",'Status of Curriculum Completion'!$EU$4:$EU$38,"In Progress")</f>
        <v>0</v>
      </c>
      <c r="AQ109" s="62">
        <f>SUMIFS('Status of Curriculum Completion'!$DZ$4:$DZ$38,'Status of Curriculum Completion'!$DP$4:$DP$38,"Japan",'Status of Curriculum Completion'!$DU$4:$DU$38,"Planned")+SUMIFS('Status of Curriculum Completion'!$EM$4:$EM$38,'Status of Curriculum Completion'!$EC$4:$EC$38,"Japan",'Status of Curriculum Completion'!$EH$4:$EH$38,"Planned")+SUMIFS('Status of Curriculum Completion'!$EZ$4:$EZ$38,'Status of Curriculum Completion'!$EP$4:$EP$38,"Japan",'Status of Curriculum Completion'!$EU$4:$EU$38,"Planned")</f>
        <v>0</v>
      </c>
      <c r="AR109" s="62">
        <f>SUMIFS('Status of Curriculum Completion'!$DZ$4:$DZ$38,'Status of Curriculum Completion'!$DP$4:$DP$38,"Japan",'Status of Curriculum Completion'!$DU$4:$DU$38,"Tentative")+SUMIFS('Status of Curriculum Completion'!$EM$4:$EM$38,'Status of Curriculum Completion'!$EC$4:$EC$38,"Japan",'Status of Curriculum Completion'!$EH$4:$EH$38,"Tentative")+SUMIFS('Status of Curriculum Completion'!$EZ$4:$EZ$38,'Status of Curriculum Completion'!$EP$4:$EP$38,"Japan",'Status of Curriculum Completion'!$EU$4:$EU$38,"Tentative")</f>
        <v>0</v>
      </c>
      <c r="AS109" s="62">
        <f>SUMIFS('Status of Curriculum Completion'!$DZ$4:$DZ$38,'Status of Curriculum Completion'!$DP$4:$DP$38,"Japan",'Status of Curriculum Completion'!$DV$4:$DV$38,"Complete")+SUMIFS('Status of Curriculum Completion'!$EM$4:$EM$38,'Status of Curriculum Completion'!$EC$4:$EC$38,"Japan",'Status of Curriculum Completion'!$EI$4:$EI$38,"Complete")+SUMIFS('Status of Curriculum Completion'!$EZ$4:$EZ$38,'Status of Curriculum Completion'!$EP$4:$EP$38,"Japan",'Status of Curriculum Completion'!$EV$4:$EV$38,"Complete")</f>
        <v>0</v>
      </c>
      <c r="AT109" s="62">
        <f>SUMIFS('Status of Curriculum Completion'!$DZ$4:$DZ$38,'Status of Curriculum Completion'!$DP$4:$DP$38,"Japan",'Status of Curriculum Completion'!$DV$4:$DV$38,"In Progress")+SUMIFS('Status of Curriculum Completion'!$EM$4:$EM$38,'Status of Curriculum Completion'!$EC$4:$EC$38,"Japan",'Status of Curriculum Completion'!$EI$4:$EI$38,"In Progress")+SUMIFS('Status of Curriculum Completion'!$EZ$4:$EZ$38,'Status of Curriculum Completion'!$EP$4:$EP$38,"Japan",'Status of Curriculum Completion'!$EV$4:$EV$38,"In Progress")</f>
        <v>0</v>
      </c>
      <c r="AU109" s="62">
        <f>SUMIFS('Status of Curriculum Completion'!$DZ$4:$DZ$38,'Status of Curriculum Completion'!$DP$4:$DP$38,"Japan",'Status of Curriculum Completion'!$DV$4:$DV$38,"Planned")+SUMIFS('Status of Curriculum Completion'!$EM$4:$EM$38,'Status of Curriculum Completion'!$EC$4:$EC$38,"Japan",'Status of Curriculum Completion'!$EI$4:$EI$38,"Planned")+SUMIFS('Status of Curriculum Completion'!$EZ$4:$EZ$38,'Status of Curriculum Completion'!$EP$4:$EP$38,"Japan",'Status of Curriculum Completion'!$EV$4:$EV$38,"Planned")</f>
        <v>20</v>
      </c>
      <c r="AV109" s="62">
        <f>SUMIFS('Status of Curriculum Completion'!$DZ$4:$DZ$38,'Status of Curriculum Completion'!$DP$4:$DP$38,"Japan",'Status of Curriculum Completion'!$DV$4:$DV$38,"Tentative")+SUMIFS('Status of Curriculum Completion'!$EM$4:$EM$38,'Status of Curriculum Completion'!$EC$4:$EC$38,"Japan",'Status of Curriculum Completion'!$EI$4:$EI$38,"Tentative")+SUMIFS('Status of Curriculum Completion'!$EZ$4:$EZ$38,'Status of Curriculum Completion'!$EP$4:$EP$38,"Japan",'Status of Curriculum Completion'!$EV$4:$EV$38,"Tentative")</f>
        <v>0</v>
      </c>
    </row>
    <row r="110" spans="3:48" ht="29.5" hidden="1" thickBot="1">
      <c r="C110" s="63" t="s">
        <v>1637</v>
      </c>
      <c r="D110" s="59">
        <f>SUMIFS('Status of Curriculum Completion'!$M$4:$M$38,'Status of Curriculum Completion'!$C$4:$C$38,"Geo MEA",'Status of Curriculum Completion'!$G$4:$G$38,"Complete")+SUMIFS('Status of Curriculum Completion'!$Z$4:$Z$38,'Status of Curriculum Completion'!$P$4:$P$38,"Geo MEA",'Status of Curriculum Completion'!$T$4:$T$38,"Complete")+SUMIFS('Status of Curriculum Completion'!$AM$4:$AM$38,'Status of Curriculum Completion'!$AC$4:$AC$38,"Geo MEA",'Status of Curriculum Completion'!$AG$4:$AG$38,"Complete")</f>
        <v>0</v>
      </c>
      <c r="E110" s="59">
        <f>SUMIFS('Status of Curriculum Completion'!$M$4:$M$38,'Status of Curriculum Completion'!$C$4:$C$38,"Geo MEA",'Status of Curriculum Completion'!$G$4:$G$38,"In progress")+SUMIFS('Status of Curriculum Completion'!$Z$4:$Z$38,'Status of Curriculum Completion'!$P$4:$P$38,"Geo MEA",'Status of Curriculum Completion'!$T$4:$T$38,"In progress")+SUMIFS('Status of Curriculum Completion'!$AM$4:$AM$38,'Status of Curriculum Completion'!$AC$4:$AC$38,"Geo MEA",'Status of Curriculum Completion'!$AG$4:$AG$38,"In progress")</f>
        <v>0</v>
      </c>
      <c r="F110" s="59">
        <f>SUMIFS('Status of Curriculum Completion'!$M$4:$M$38,'Status of Curriculum Completion'!$C$4:$C$38,"Geo MEA",'Status of Curriculum Completion'!$G$4:$G$38,"Planned")+SUMIFS('Status of Curriculum Completion'!$Z$4:$Z$38,'Status of Curriculum Completion'!$P$4:$P$38,"Geo MEA",'Status of Curriculum Completion'!$T$4:$T$38,"Planned")+SUMIFS('Status of Curriculum Completion'!$AM$4:$AM$38,'Status of Curriculum Completion'!$AC$4:$AC$38,"Geo MEA",'Status of Curriculum Completion'!$AG$4:$AG$38,"Planned")</f>
        <v>0</v>
      </c>
      <c r="G110" s="59">
        <f>SUMIFS('Status of Curriculum Completion'!$M$4:$M$38,'Status of Curriculum Completion'!$C$4:$C$38,"Geo MEA",'Status of Curriculum Completion'!$H$4:$H$38,"Complete")+SUMIFS('Status of Curriculum Completion'!$Z$4:$Z$38,'Status of Curriculum Completion'!$P$4:$P$38,"Geo MEA",'Status of Curriculum Completion'!$U$4:$U$38,"Complete")+SUMIFS('Status of Curriculum Completion'!$AM$4:$AM$38,'Status of Curriculum Completion'!$AC$4:$AC$38,"Geo MEA",'Status of Curriculum Completion'!$AH$4:$AH$38,"Complete")</f>
        <v>0</v>
      </c>
      <c r="H110" s="59">
        <f>SUMIFS('Status of Curriculum Completion'!$M$4:$M$38,'Status of Curriculum Completion'!$C$4:$C$38,"Geo MEA",'Status of Curriculum Completion'!$H$4:$H$38,"In Progress")+SUMIFS('Status of Curriculum Completion'!$Z$4:$Z$38,'Status of Curriculum Completion'!$P$4:$P$38,"Geo MEA",'Status of Curriculum Completion'!$U$4:$U$38,"In Progress")+SUMIFS('Status of Curriculum Completion'!$AM$4:$AM$38,'Status of Curriculum Completion'!$AC$4:$AC$38,"Geo MEA",'Status of Curriculum Completion'!$AH$4:$AH$38,"In Progress")</f>
        <v>0</v>
      </c>
      <c r="I110" s="59">
        <f>SUMIFS('Status of Curriculum Completion'!$M$4:$M$38,'Status of Curriculum Completion'!$C$4:$C$38,"Geo MEA",'Status of Curriculum Completion'!$H$4:$H$38,"Planned")+SUMIFS('Status of Curriculum Completion'!$Z$4:$Z$38,'Status of Curriculum Completion'!$P$4:$P$38,"Geo MEA",'Status of Curriculum Completion'!$U$4:$U$38,"Planned")+SUMIFS('Status of Curriculum Completion'!$AM$4:$AM$38,'Status of Curriculum Completion'!$AC$4:$AC$38,"Geo MEA",'Status of Curriculum Completion'!$AH$4:$AH$38,"Planned")</f>
        <v>0</v>
      </c>
      <c r="J110" s="59">
        <f>SUMIFS('Status of Curriculum Completion'!$M$4:$M$38,'Status of Curriculum Completion'!$C$4:$C$38,"Geo MEA",'Status of Curriculum Completion'!$I$4:$I$38,"Complete")+SUMIFS('Status of Curriculum Completion'!$Z$4:$Z$38,'Status of Curriculum Completion'!$P$4:$P$38,"Geo MEA",'Status of Curriculum Completion'!$V$4:$V$38,"Complete")+SUMIFS('Status of Curriculum Completion'!$AM$4:$AM$38,'Status of Curriculum Completion'!$AC$4:$AC$38,"Geo MEA",'Status of Curriculum Completion'!$AI$4:$AI$38,"Complete")</f>
        <v>0</v>
      </c>
      <c r="K110" s="59">
        <f>SUMIFS('Status of Curriculum Completion'!$M$4:$M$38,'Status of Curriculum Completion'!$C$4:$C$38,"Geo MEA",'Status of Curriculum Completion'!$I$4:$I$38,"In Progress")+SUMIFS('Status of Curriculum Completion'!$Z$4:$Z$38,'Status of Curriculum Completion'!$P$4:$P$38,"Geo MEA",'Status of Curriculum Completion'!$V$4:$V$38,"In Progress")+SUMIFS('Status of Curriculum Completion'!$AM$4:$AM$38,'Status of Curriculum Completion'!$AC$4:$AC$38,"Geo MEA",'Status of Curriculum Completion'!$AI$4:$AI$38,"In Progress")</f>
        <v>0</v>
      </c>
      <c r="L110" s="59">
        <f>SUMIFS('Status of Curriculum Completion'!$M$4:$M$38,'Status of Curriculum Completion'!$C$4:$C$38,"Geo MEA",'Status of Curriculum Completion'!$I$4:$I$38,"Planned")+SUMIFS('Status of Curriculum Completion'!$Z$4:$Z$38,'Status of Curriculum Completion'!$P$4:$P$38,"Geo MEA",'Status of Curriculum Completion'!$V$4:$V$38,"Planned")+SUMIFS('Status of Curriculum Completion'!$AM$4:$AM$38,'Status of Curriculum Completion'!$AC$4:$AC$38,"Geo MEA",'Status of Curriculum Completion'!$AI$4:$AI$38,"Planned")</f>
        <v>0</v>
      </c>
      <c r="M110" s="60">
        <f>SUMIFS('Status of Curriculum Completion'!$AZ$4:$AZ$38,'Status of Curriculum Completion'!$AP$4:$AP$38,"Geo MEA",'Status of Curriculum Completion'!$AT$4:$AT$38,"Complete")+SUMIFS('Status of Curriculum Completion'!$BM$4:$BM$38,'Status of Curriculum Completion'!$BC$4:$BC$38,"Geo MEA",'Status of Curriculum Completion'!$BG$4:$BG$38,"Complete")+SUMIFS('Status of Curriculum Completion'!$BZ$4:$BZ$38,'Status of Curriculum Completion'!$BP$4:$BP$38,"Geo MEA",'Status of Curriculum Completion'!$BT$4:$BT$38,"Complete")</f>
        <v>0</v>
      </c>
      <c r="N110" s="60">
        <f>SUMIFS('Status of Curriculum Completion'!$AZ$4:$AZ$38,'Status of Curriculum Completion'!$AP$4:$AP$38,"Geo MEA",'Status of Curriculum Completion'!$AT$4:$AT$38,"In Progress")+SUMIFS('Status of Curriculum Completion'!$BM$4:$BM$38,'Status of Curriculum Completion'!$BC$4:$BC$38,"Geo MEA",'Status of Curriculum Completion'!$BG$4:$BG$38,"In Progress")+SUMIFS('Status of Curriculum Completion'!$BZ$4:$BZ$38,'Status of Curriculum Completion'!$BP$4:$BP$38,"Geo MEA",'Status of Curriculum Completion'!$BT$4:$BT$38,"In Progress")</f>
        <v>0</v>
      </c>
      <c r="O110" s="60">
        <f>SUMIFS('Status of Curriculum Completion'!$AZ$4:$AZ$38,'Status of Curriculum Completion'!$AP$4:$AP$38,"Geo MEA",'Status of Curriculum Completion'!$AT$4:$AT$38,"Planned")+SUMIFS('Status of Curriculum Completion'!$BM$4:$BM$38,'Status of Curriculum Completion'!$BC$4:$BC$38,"Geo MEA",'Status of Curriculum Completion'!$BG$4:$BG$38,"Planned")+SUMIFS('Status of Curriculum Completion'!$BZ$4:$BZ$38,'Status of Curriculum Completion'!$BP$4:$BP$38,"Geo MEA",'Status of Curriculum Completion'!$BT$4:$BT$38,"Planned")</f>
        <v>0</v>
      </c>
      <c r="P110" s="60">
        <f>SUMIFS('Status of Curriculum Completion'!$AZ$4:$AZ$38,'Status of Curriculum Completion'!$AP$4:$AP$38,"Geo MEA",'Status of Curriculum Completion'!$AU$4:$AU$38,"Complete")+SUMIFS('Status of Curriculum Completion'!$BM$4:$BM$38,'Status of Curriculum Completion'!$BC$4:$BC$38,"Geo MEA",'Status of Curriculum Completion'!$BH$4:$BH$38,"Complete")+SUMIFS('Status of Curriculum Completion'!$BZ$4:$BZ$38,'Status of Curriculum Completion'!$BP$4:$BP$38,"Geo MEA",'Status of Curriculum Completion'!$BU$4:$BU$38,"Complete")</f>
        <v>0</v>
      </c>
      <c r="Q110" s="60">
        <f>SUMIFS('Status of Curriculum Completion'!$AZ$4:$AZ$38,'Status of Curriculum Completion'!$AP$4:$AP$38,"Geo MEA",'Status of Curriculum Completion'!$AU$4:$AU$38,"In Progress")+SUMIFS('Status of Curriculum Completion'!$BM$4:$BM$38,'Status of Curriculum Completion'!$BC$4:$BC$38,"Geo MEA",'Status of Curriculum Completion'!$BH$4:$BH$38,"In Progress")+SUMIFS('Status of Curriculum Completion'!$BZ$4:$BZ$38,'Status of Curriculum Completion'!$BP$4:$BP$38,"Geo MEA",'Status of Curriculum Completion'!$BU$4:$BU$38,"In Progress")</f>
        <v>0</v>
      </c>
      <c r="R110" s="60">
        <f>SUMIFS('Status of Curriculum Completion'!$AZ$4:$AZ$38,'Status of Curriculum Completion'!$AP$4:$AP$38,"Geo MEA",'Status of Curriculum Completion'!$AU$4:$AU$38,"Planned")+SUMIFS('Status of Curriculum Completion'!$BM$4:$BM$38,'Status of Curriculum Completion'!$BC$4:$BC$38,"Geo MEA",'Status of Curriculum Completion'!$BH$4:$BH$38,"Planned")+SUMIFS('Status of Curriculum Completion'!$BZ$4:$BZ$38,'Status of Curriculum Completion'!$BP$4:$BP$38,"Geo MEA",'Status of Curriculum Completion'!$BU$4:$BU$38,"Planned")</f>
        <v>0</v>
      </c>
      <c r="S110" s="60">
        <f>SUMIFS('Status of Curriculum Completion'!$AZ$4:$AZ$38,'Status of Curriculum Completion'!$AP$4:$AP$38,"Geo MEA",'Status of Curriculum Completion'!$AV$4:$AV$38,"Complete")+SUMIFS('Status of Curriculum Completion'!$BM$4:$BM$38,'Status of Curriculum Completion'!$BC$4:$BC$38,"Geo MEA",'Status of Curriculum Completion'!$BI$4:$BI$38,"Complete")+SUMIFS('Status of Curriculum Completion'!$BZ$4:$BZ$38,'Status of Curriculum Completion'!$BP$4:$BP$38,"Geo MEA",'Status of Curriculum Completion'!$BV$4:$BV$38,"Complete")</f>
        <v>0</v>
      </c>
      <c r="T110" s="60">
        <f>SUMIFS('Status of Curriculum Completion'!$AZ$4:$AZ$38,'Status of Curriculum Completion'!$AP$4:$AP$38,"Geo MEA",'Status of Curriculum Completion'!$AV$4:$AV$38,"In Progress")+SUMIFS('Status of Curriculum Completion'!$BM$4:$BM$38,'Status of Curriculum Completion'!$BC$4:$BC$38,"Geo MEA",'Status of Curriculum Completion'!$BI$4:$BI$38,"In Progress")+SUMIFS('Status of Curriculum Completion'!$BZ$4:$BZ$38,'Status of Curriculum Completion'!$BP$4:$BP$38,"Geo MEA",'Status of Curriculum Completion'!$BV$4:$BV$38,"In Progress")</f>
        <v>0</v>
      </c>
      <c r="U110" s="60">
        <f>SUMIFS('Status of Curriculum Completion'!$AZ$4:$AZ$38,'Status of Curriculum Completion'!$AP$4:$AP$38,"Geo MEA",'Status of Curriculum Completion'!$AV$4:$AV$38,"Planned")+SUMIFS('Status of Curriculum Completion'!$BM$4:$BM$38,'Status of Curriculum Completion'!$BC$4:$BC$38,"Geo MEA",'Status of Curriculum Completion'!$BI$4:$BI$38,"Planned")+SUMIFS('Status of Curriculum Completion'!$BZ$4:$BZ$38,'Status of Curriculum Completion'!$BP$4:$BP$38,"Geo MEA",'Status of Curriculum Completion'!$BV$4:$BV$38,"Planned")</f>
        <v>0</v>
      </c>
      <c r="V110"/>
      <c r="W110"/>
      <c r="X110" s="63" t="s">
        <v>1637</v>
      </c>
      <c r="Y110" s="61">
        <f>SUMIFS('Status of Curriculum Completion'!$CM$4:$CM$38,'Status of Curriculum Completion'!$CC$4:$CC$38,"Geo MEA",'Status of Curriculum Completion'!$CG$4:$CG$38,"Complete")+SUMIFS('Status of Curriculum Completion'!$CZ$4:$CZ$38,'Status of Curriculum Completion'!$CP$4:$CP$38,"Geo MEA",'Status of Curriculum Completion'!$CT$4:$CT$38,"Complete")+SUMIFS('Status of Curriculum Completion'!$DM$4:$DM$38,'Status of Curriculum Completion'!$DC$4:$DC$38,"Geo MEA",'Status of Curriculum Completion'!$DG$4:$DG$38,"Complete")</f>
        <v>13</v>
      </c>
      <c r="Z110" s="61">
        <f>SUMIFS('Status of Curriculum Completion'!$CM$4:$CM$38,'Status of Curriculum Completion'!$CC$4:$CC$38,"Geo MEA",'Status of Curriculum Completion'!$CG$4:$CG$38,"In Progress")+SUMIFS('Status of Curriculum Completion'!$CZ$4:$CZ$38,'Status of Curriculum Completion'!$CP$4:$CP$38,"Geo MEA",'Status of Curriculum Completion'!$CT$4:$CT$38,"In Progress")+SUMIFS('Status of Curriculum Completion'!$DM$4:$DM$38,'Status of Curriculum Completion'!$DC$4:$DC$38,"Geo MEA",'Status of Curriculum Completion'!$DG$4:$DG$38,"In Progress")</f>
        <v>0</v>
      </c>
      <c r="AA110" s="61">
        <f>SUMIFS('Status of Curriculum Completion'!$CM$4:$CM$38,'Status of Curriculum Completion'!$CC$4:$CC$38,"Geo MEA",'Status of Curriculum Completion'!$CG$4:$CG$38,"Planned")+SUMIFS('Status of Curriculum Completion'!$CZ$4:$CZ$38,'Status of Curriculum Completion'!$CP$4:$CP$38,"Geo MEA",'Status of Curriculum Completion'!$CT$4:$CT$38,"Planned")+SUMIFS('Status of Curriculum Completion'!$DM$4:$DM$38,'Status of Curriculum Completion'!$DC$4:$DC$38,"Geo MEA",'Status of Curriculum Completion'!$DG$4:$DG$38,"Planned")</f>
        <v>0</v>
      </c>
      <c r="AB110" s="61">
        <f>SUMIFS('Status of Curriculum Completion'!$CM$4:$CM$38,'Status of Curriculum Completion'!$CC$4:$CC$38,"Geo MEA",'Status of Curriculum Completion'!$CG$4:$CG$38,"Tentative")+SUMIFS('Status of Curriculum Completion'!$CZ$4:$CZ$38,'Status of Curriculum Completion'!$CP$4:$CP$38,"Geo MEA",'Status of Curriculum Completion'!$CT$4:$CT$38,"Tentative")+SUMIFS('Status of Curriculum Completion'!$DM$4:$DM$38,'Status of Curriculum Completion'!$DC$4:$DC$38,"Geo MEA",'Status of Curriculum Completion'!$DG$4:$DG$38,"Tentative")</f>
        <v>0</v>
      </c>
      <c r="AC110" s="61">
        <f>SUMIFS('Status of Curriculum Completion'!$CM$4:$CM$38,'Status of Curriculum Completion'!$CC$4:$CC$38,"Geo MEA",'Status of Curriculum Completion'!$CH$4:$CH$38,"Complete")+SUMIFS('Status of Curriculum Completion'!$CZ$4:$CZ$38,'Status of Curriculum Completion'!$CP$4:$CP$38,"Geo MEA",'Status of Curriculum Completion'!$CU$4:$CU$38,"Complete")+SUMIFS('Status of Curriculum Completion'!$DM$4:$DM$38,'Status of Curriculum Completion'!$DC$4:$DC$38,"Geo MEA",'Status of Curriculum Completion'!$DH$4:$DH$38,"Complete")</f>
        <v>13</v>
      </c>
      <c r="AD110" s="61">
        <f>SUMIFS('Status of Curriculum Completion'!$CM$4:$CM$38,'Status of Curriculum Completion'!$CC$4:$CC$38,"Geo MEA",'Status of Curriculum Completion'!$CH$4:$CH$38,"In Progress")+SUMIFS('Status of Curriculum Completion'!$CZ$4:$CZ$38,'Status of Curriculum Completion'!$CP$4:$CP$38,"Geo MEA",'Status of Curriculum Completion'!$CU$4:$CU$38,"In Progress")+SUMIFS('Status of Curriculum Completion'!$DM$4:$DM$38,'Status of Curriculum Completion'!$DC$4:$DC$38,"Geo MEA",'Status of Curriculum Completion'!$DH$4:$DH$38,"In Progress")</f>
        <v>0</v>
      </c>
      <c r="AE110" s="61">
        <f>SUMIFS('Status of Curriculum Completion'!$CM$4:$CM$38,'Status of Curriculum Completion'!$CC$4:$CC$38,"Geo MEA",'Status of Curriculum Completion'!$CH$4:$CH$38,"Planned")+SUMIFS('Status of Curriculum Completion'!$CZ$4:$CZ$38,'Status of Curriculum Completion'!$CP$4:$CP$38,"Geo MEA",'Status of Curriculum Completion'!$CU$4:$CU$38,"Planned")+SUMIFS('Status of Curriculum Completion'!$DM$4:$DM$38,'Status of Curriculum Completion'!$DC$4:$DC$38,"Geo MEA",'Status of Curriculum Completion'!$DH$4:$DH$38,"Planned")</f>
        <v>0</v>
      </c>
      <c r="AF110" s="61">
        <f>SUMIFS('Status of Curriculum Completion'!$CM$4:$CM$38,'Status of Curriculum Completion'!$CC$4:$CC$38,"Geo MEA",'Status of Curriculum Completion'!$CH$4:$CH$38,"Tentative")+SUMIFS('Status of Curriculum Completion'!$CZ$4:$CZ$38,'Status of Curriculum Completion'!$CP$4:$CP$38,"Geo MEA",'Status of Curriculum Completion'!$CU$4:$CU$38,"Tentative")+SUMIFS('Status of Curriculum Completion'!$DM$4:$DM$38,'Status of Curriculum Completion'!$DC$4:$DC$38,"Geo MEA",'Status of Curriculum Completion'!$DH$4:$DH$38,"Tentative")</f>
        <v>0</v>
      </c>
      <c r="AG110" s="61">
        <f>SUMIFS('Status of Curriculum Completion'!$CM$4:$CM$38,'Status of Curriculum Completion'!$CC$4:$CC$38,"Geo MEA",'Status of Curriculum Completion'!$CI$4:$CI$38,"Complete")+SUMIFS('Status of Curriculum Completion'!$CZ$4:$CZ$38,'Status of Curriculum Completion'!$CP$4:$CP$38,"Geo MEA",'Status of Curriculum Completion'!$CV$4:$CV$38,"Complete")+SUMIFS('Status of Curriculum Completion'!$DM$4:$DM$38,'Status of Curriculum Completion'!$DC$4:$DC$38,"Geo MEA",'Status of Curriculum Completion'!$DI$4:$DI$38,"Complete")</f>
        <v>0</v>
      </c>
      <c r="AH110" s="61">
        <f>SUMIFS('Status of Curriculum Completion'!$CM$4:$CM$38,'Status of Curriculum Completion'!$CC$4:$CC$38,"Geo MEA",'Status of Curriculum Completion'!$CI$4:$CI$38,"In Progress")+SUMIFS('Status of Curriculum Completion'!$CZ$4:$CZ$38,'Status of Curriculum Completion'!$CP$4:$CP$38,"Geo MEA",'Status of Curriculum Completion'!$CV$4:$CV$38,"In Progress")+SUMIFS('Status of Curriculum Completion'!$DM$4:$DM$38,'Status of Curriculum Completion'!$DC$4:$DC$38,"Geo MEA",'Status of Curriculum Completion'!$DI$4:$DI$38,"In Progress")</f>
        <v>0</v>
      </c>
      <c r="AI110" s="61">
        <f>SUMIFS('Status of Curriculum Completion'!$CM$4:$CM$38,'Status of Curriculum Completion'!$CC$4:$CC$38,"Geo MEA",'Status of Curriculum Completion'!$CI$4:$CI$38,"Planned")+SUMIFS('Status of Curriculum Completion'!$CZ$4:$CZ$38,'Status of Curriculum Completion'!$CP$4:$CP$38,"Geo MEA",'Status of Curriculum Completion'!$CV$4:$CV$38,"Planned")+SUMIFS('Status of Curriculum Completion'!$DM$4:$DM$38,'Status of Curriculum Completion'!$DC$4:$DC$38,"Geo MEA",'Status of Curriculum Completion'!$DI$4:$DI$38,"Planned")</f>
        <v>0</v>
      </c>
      <c r="AJ110" s="61">
        <f>SUMIFS('Status of Curriculum Completion'!$CM$4:$CM$38,'Status of Curriculum Completion'!$CC$4:$CC$38,"Geo MEA",'Status of Curriculum Completion'!$CI$4:$CI$38,"Tentative")+SUMIFS('Status of Curriculum Completion'!$CZ$4:$CZ$38,'Status of Curriculum Completion'!$CP$4:$CP$38,"Geo MEA",'Status of Curriculum Completion'!$CV$4:$CV$38,"Tentative")+SUMIFS('Status of Curriculum Completion'!$DM$4:$DM$38,'Status of Curriculum Completion'!$DC$4:$DC$38,"Geo MEA",'Status of Curriculum Completion'!$DI$4:$DI$38,"Tentative")</f>
        <v>13</v>
      </c>
      <c r="AK110" s="62">
        <f>SUMIFS('Status of Curriculum Completion'!$DZ$4:$DZ$38,'Status of Curriculum Completion'!$DP$4:$DP$38,"Geo MEA",'Status of Curriculum Completion'!$DT$4:$DT$38,"Complete")+SUMIFS('Status of Curriculum Completion'!$EM$4:$EM$38,'Status of Curriculum Completion'!$EC$4:$EC$38,"Geo MEA",'Status of Curriculum Completion'!$EG$4:$EG$38,"Complete")+SUMIFS('Status of Curriculum Completion'!$EZ$4:$EZ$38,'Status of Curriculum Completion'!$EP$4:$EP$38,"Geo MEA",'Status of Curriculum Completion'!$ET$4:$ET$38,"Complete")</f>
        <v>0</v>
      </c>
      <c r="AL110" s="62">
        <f>SUMIFS('Status of Curriculum Completion'!$DZ$4:$DZ$38,'Status of Curriculum Completion'!$DP$4:$DP$38,"Geo MEA",'Status of Curriculum Completion'!$DT$4:$DT$38,"In Progress")+SUMIFS('Status of Curriculum Completion'!$EM$4:$EM$38,'Status of Curriculum Completion'!$EC$4:$EC$38,"Geo MEA",'Status of Curriculum Completion'!$EG$4:$EG$38,"In Progress")+SUMIFS('Status of Curriculum Completion'!$EZ$4:$EZ$38,'Status of Curriculum Completion'!$EP$4:$EP$38,"Geo MEA",'Status of Curriculum Completion'!$ET$4:$ET$38,"In Progress")</f>
        <v>0</v>
      </c>
      <c r="AM110" s="62">
        <f>SUMIFS('Status of Curriculum Completion'!$DZ$4:$DZ$38,'Status of Curriculum Completion'!$DP$4:$DP$38,"Geo MEA",'Status of Curriculum Completion'!$DT$4:$DT$38,"Planned")+SUMIFS('Status of Curriculum Completion'!$EM$4:$EM$38,'Status of Curriculum Completion'!$EC$4:$EC$38,"Geo MEA",'Status of Curriculum Completion'!$EG$4:$EG$38,"Planned")+SUMIFS('Status of Curriculum Completion'!$EZ$4:$EZ$38,'Status of Curriculum Completion'!$EP$4:$EP$38,"Geo MEA",'Status of Curriculum Completion'!$ET$4:$ET$38,"Planned")</f>
        <v>0</v>
      </c>
      <c r="AN110" s="62">
        <f>SUMIFS('Status of Curriculum Completion'!$DZ$4:$DZ$38,'Status of Curriculum Completion'!$DP$4:$DP$38,"Geo MEA",'Status of Curriculum Completion'!$DT$4:$DT$38,"Tentative")+SUMIFS('Status of Curriculum Completion'!$EM$4:$EM$38,'Status of Curriculum Completion'!$EC$4:$EC$38,"Geo MEA",'Status of Curriculum Completion'!$EG$4:$EG$38,"Tentative")+SUMIFS('Status of Curriculum Completion'!$EZ$4:$EZ$38,'Status of Curriculum Completion'!$EP$4:$EP$38,"Geo MEA",'Status of Curriculum Completion'!$ET$4:$ET$38,"Tentative")</f>
        <v>0</v>
      </c>
      <c r="AO110" s="62">
        <f>SUMIFS('Status of Curriculum Completion'!$DZ$4:$DZ$38,'Status of Curriculum Completion'!$DP$4:$DP$38,"Geo MEA",'Status of Curriculum Completion'!$DU$4:$DU$38,"Complete")+SUMIFS('Status of Curriculum Completion'!$EM$4:$EM$38,'Status of Curriculum Completion'!$EC$4:$EC$38,"Geo MEA",'Status of Curriculum Completion'!$EH$4:$EH$38,"Complete")+SUMIFS('Status of Curriculum Completion'!$EZ$4:$EZ$38,'Status of Curriculum Completion'!$EP$4:$EP$38,"Geo MEA",'Status of Curriculum Completion'!$EU$4:$EU$38,"Complete")</f>
        <v>0</v>
      </c>
      <c r="AP110" s="62">
        <f>SUMIFS('Status of Curriculum Completion'!$DZ$4:$DZ$38,'Status of Curriculum Completion'!$DP$4:$DP$38,"Geo MEA",'Status of Curriculum Completion'!$DU$4:$DU$38,"In Progress")+SUMIFS('Status of Curriculum Completion'!$EM$4:$EM$38,'Status of Curriculum Completion'!$EC$4:$EC$38,"Geo MEA",'Status of Curriculum Completion'!$EH$4:$EH$38,"In Progress")+SUMIFS('Status of Curriculum Completion'!$EZ$4:$EZ$38,'Status of Curriculum Completion'!$EP$4:$EP$38,"Geo MEA",'Status of Curriculum Completion'!$EU$4:$EU$38,"In Progress")</f>
        <v>0</v>
      </c>
      <c r="AQ110" s="62">
        <f>SUMIFS('Status of Curriculum Completion'!$DZ$4:$DZ$38,'Status of Curriculum Completion'!$DP$4:$DP$38,"Geo MEA",'Status of Curriculum Completion'!$DU$4:$DU$38,"Planned")+SUMIFS('Status of Curriculum Completion'!$EM$4:$EM$38,'Status of Curriculum Completion'!$EC$4:$EC$38,"Geo MEA",'Status of Curriculum Completion'!$EH$4:$EH$38,"Planned")+SUMIFS('Status of Curriculum Completion'!$EZ$4:$EZ$38,'Status of Curriculum Completion'!$EP$4:$EP$38,"Geo MEA",'Status of Curriculum Completion'!$EU$4:$EU$38,"Planned")</f>
        <v>0</v>
      </c>
      <c r="AR110" s="62">
        <f>SUMIFS('Status of Curriculum Completion'!$DZ$4:$DZ$38,'Status of Curriculum Completion'!$DP$4:$DP$38,"Geo MEA",'Status of Curriculum Completion'!$DU$4:$DU$38,"Tentative")+SUMIFS('Status of Curriculum Completion'!$EM$4:$EM$38,'Status of Curriculum Completion'!$EC$4:$EC$38,"Geo MEA",'Status of Curriculum Completion'!$EH$4:$EH$38,"Tentative")+SUMIFS('Status of Curriculum Completion'!$EZ$4:$EZ$38,'Status of Curriculum Completion'!$EP$4:$EP$38,"Geo MEA",'Status of Curriculum Completion'!$EU$4:$EU$38,"Tentative")</f>
        <v>0</v>
      </c>
      <c r="AS110" s="62">
        <f>SUMIFS('Status of Curriculum Completion'!$DZ$4:$DZ$38,'Status of Curriculum Completion'!$DP$4:$DP$38,"Geo MEA",'Status of Curriculum Completion'!$DV$4:$DV$38,"Complete")+SUMIFS('Status of Curriculum Completion'!$EM$4:$EM$38,'Status of Curriculum Completion'!$EC$4:$EC$38,"Geo MEA",'Status of Curriculum Completion'!$EI$4:$EI$38,"Complete")+SUMIFS('Status of Curriculum Completion'!$EZ$4:$EZ$38,'Status of Curriculum Completion'!$EP$4:$EP$38,"Geo MEA",'Status of Curriculum Completion'!$EV$4:$EV$38,"Complete")</f>
        <v>0</v>
      </c>
      <c r="AT110" s="62">
        <f>SUMIFS('Status of Curriculum Completion'!$DZ$4:$DZ$38,'Status of Curriculum Completion'!$DP$4:$DP$38,"Geo MEA",'Status of Curriculum Completion'!$DV$4:$DV$38,"In Progress")+SUMIFS('Status of Curriculum Completion'!$EM$4:$EM$38,'Status of Curriculum Completion'!$EC$4:$EC$38,"Geo MEA",'Status of Curriculum Completion'!$EI$4:$EI$38,"In Progress")+SUMIFS('Status of Curriculum Completion'!$EZ$4:$EZ$38,'Status of Curriculum Completion'!$EP$4:$EP$38,"Geo MEA",'Status of Curriculum Completion'!$EV$4:$EV$38,"In Progress")</f>
        <v>0</v>
      </c>
      <c r="AU110" s="62">
        <f>SUMIFS('Status of Curriculum Completion'!$DZ$4:$DZ$38,'Status of Curriculum Completion'!$DP$4:$DP$38,"Geo MEA",'Status of Curriculum Completion'!$DV$4:$DV$38,"Planned")+SUMIFS('Status of Curriculum Completion'!$EM$4:$EM$38,'Status of Curriculum Completion'!$EC$4:$EC$38,"Geo MEA",'Status of Curriculum Completion'!$EI$4:$EI$38,"Planned")+SUMIFS('Status of Curriculum Completion'!$EZ$4:$EZ$38,'Status of Curriculum Completion'!$EP$4:$EP$38,"Geo MEA",'Status of Curriculum Completion'!$EV$4:$EV$38,"Planned")</f>
        <v>0</v>
      </c>
      <c r="AV110" s="62">
        <f>SUMIFS('Status of Curriculum Completion'!$DZ$4:$DZ$38,'Status of Curriculum Completion'!$DP$4:$DP$38,"Geo MEA",'Status of Curriculum Completion'!$DV$4:$DV$38,"Tentative")+SUMIFS('Status of Curriculum Completion'!$EM$4:$EM$38,'Status of Curriculum Completion'!$EC$4:$EC$38,"Geo MEA",'Status of Curriculum Completion'!$EI$4:$EI$38,"Tentative")+SUMIFS('Status of Curriculum Completion'!$EZ$4:$EZ$38,'Status of Curriculum Completion'!$EP$4:$EP$38,"Geo MEA",'Status of Curriculum Completion'!$EV$4:$EV$38,"Tentative")</f>
        <v>0</v>
      </c>
    </row>
    <row r="111" spans="3:48" ht="29.5" hidden="1" thickBot="1">
      <c r="C111" s="63" t="s">
        <v>1638</v>
      </c>
      <c r="D111" s="59">
        <f>SUMIFS('Status of Curriculum Completion'!$M$4:$M$38,'Status of Curriculum Completion'!$C$4:$C$38,"Geo NA Canada",'Status of Curriculum Completion'!$G$4:$G$38,"Complete")+SUMIFS('Status of Curriculum Completion'!$Z$4:$Z$38,'Status of Curriculum Completion'!$P$4:$P$38,"Geo NA Canada",'Status of Curriculum Completion'!$T$4:$T$38,"Complete")+SUMIFS('Status of Curriculum Completion'!$AM$4:$AM$38,'Status of Curriculum Completion'!$AC$4:$AC$38,"Geo NA Canada",'Status of Curriculum Completion'!$AG$4:$AG$38,"Complete")</f>
        <v>0</v>
      </c>
      <c r="E111" s="59">
        <f>SUMIFS('Status of Curriculum Completion'!$M$4:$M$38,'Status of Curriculum Completion'!$C$4:$C$38,"Geo NA Canada",'Status of Curriculum Completion'!$G$4:$G$38,"In progress")+SUMIFS('Status of Curriculum Completion'!$Z$4:$Z$38,'Status of Curriculum Completion'!$P$4:$P$38,"Geo NA Canada",'Status of Curriculum Completion'!$T$4:$T$38,"In progress")+SUMIFS('Status of Curriculum Completion'!$AM$4:$AM$38,'Status of Curriculum Completion'!$AC$4:$AC$38,"Geo NA Canada",'Status of Curriculum Completion'!$AG$4:$AG$38,"In progress")</f>
        <v>47</v>
      </c>
      <c r="F111" s="59">
        <f>SUMIFS('Status of Curriculum Completion'!$M$4:$M$38,'Status of Curriculum Completion'!$C$4:$C$38,"Geo NA Canada",'Status of Curriculum Completion'!$G$4:$G$38,"Planned")+SUMIFS('Status of Curriculum Completion'!$Z$4:$Z$38,'Status of Curriculum Completion'!$P$4:$P$38,"Geo NA Canada",'Status of Curriculum Completion'!$T$4:$T$38,"Planned")+SUMIFS('Status of Curriculum Completion'!$AM$4:$AM$38,'Status of Curriculum Completion'!$AC$4:$AC$38,"Geo NA Canada",'Status of Curriculum Completion'!$AG$4:$AG$38,"Planned")</f>
        <v>0</v>
      </c>
      <c r="G111" s="59">
        <f>SUMIFS('Status of Curriculum Completion'!$M$4:$M$38,'Status of Curriculum Completion'!$C$4:$C$38,"Geo NA Canada",'Status of Curriculum Completion'!$H$4:$H$38,"Complete")+SUMIFS('Status of Curriculum Completion'!$Z$4:$Z$38,'Status of Curriculum Completion'!$P$4:$P$38,"Geo NA Canada",'Status of Curriculum Completion'!$U$4:$U$38,"Complete")+SUMIFS('Status of Curriculum Completion'!$AM$4:$AM$38,'Status of Curriculum Completion'!$AC$4:$AC$38,"Geo NA Canada",'Status of Curriculum Completion'!$AH$4:$AH$38,"Complete")</f>
        <v>0</v>
      </c>
      <c r="H111" s="59">
        <f>SUMIFS('Status of Curriculum Completion'!$M$4:$M$38,'Status of Curriculum Completion'!$C$4:$C$38,"Geo NA Canada",'Status of Curriculum Completion'!$H$4:$H$38,"In Progress")+SUMIFS('Status of Curriculum Completion'!$Z$4:$Z$38,'Status of Curriculum Completion'!$P$4:$P$38,"Geo NA Canada",'Status of Curriculum Completion'!$U$4:$U$38,"In Progress")+SUMIFS('Status of Curriculum Completion'!$AM$4:$AM$38,'Status of Curriculum Completion'!$AC$4:$AC$38,"Geo NA Canada",'Status of Curriculum Completion'!$AH$4:$AH$38,"In Progress")</f>
        <v>0</v>
      </c>
      <c r="I111" s="59">
        <f>SUMIFS('Status of Curriculum Completion'!$M$4:$M$38,'Status of Curriculum Completion'!$C$4:$C$38,"Geo NA Canada",'Status of Curriculum Completion'!$H$4:$H$38,"Planned")+SUMIFS('Status of Curriculum Completion'!$Z$4:$Z$38,'Status of Curriculum Completion'!$P$4:$P$38,"Geo NA Canada",'Status of Curriculum Completion'!$U$4:$U$38,"Planned")+SUMIFS('Status of Curriculum Completion'!$AM$4:$AM$38,'Status of Curriculum Completion'!$AC$4:$AC$38,"Geo NA Canada",'Status of Curriculum Completion'!$AH$4:$AH$38,"Planned")</f>
        <v>0</v>
      </c>
      <c r="J111" s="59">
        <f>SUMIFS('Status of Curriculum Completion'!$M$4:$M$38,'Status of Curriculum Completion'!$C$4:$C$38,"Geo NA Canada",'Status of Curriculum Completion'!$I$4:$I$38,"Complete")+SUMIFS('Status of Curriculum Completion'!$Z$4:$Z$38,'Status of Curriculum Completion'!$P$4:$P$38,"Geo NA Canada",'Status of Curriculum Completion'!$V$4:$V$38,"Complete")+SUMIFS('Status of Curriculum Completion'!$AM$4:$AM$38,'Status of Curriculum Completion'!$AC$4:$AC$38,"Geo NA Canada",'Status of Curriculum Completion'!$AI$4:$AI$38,"Complete")</f>
        <v>0</v>
      </c>
      <c r="K111" s="59">
        <f>SUMIFS('Status of Curriculum Completion'!$M$4:$M$38,'Status of Curriculum Completion'!$C$4:$C$38,"Geo NA Canada",'Status of Curriculum Completion'!$I$4:$I$38,"In Progress")+SUMIFS('Status of Curriculum Completion'!$Z$4:$Z$38,'Status of Curriculum Completion'!$P$4:$P$38,"Geo NA Canada",'Status of Curriculum Completion'!$V$4:$V$38,"In Progress")+SUMIFS('Status of Curriculum Completion'!$AM$4:$AM$38,'Status of Curriculum Completion'!$AC$4:$AC$38,"Geo NA Canada",'Status of Curriculum Completion'!$AI$4:$AI$38,"In Progress")</f>
        <v>0</v>
      </c>
      <c r="L111" s="59">
        <f>SUMIFS('Status of Curriculum Completion'!$M$4:$M$38,'Status of Curriculum Completion'!$C$4:$C$38,"Geo NA Canada",'Status of Curriculum Completion'!$I$5:$I$39,"Planned")+SUMIFS('Status of Curriculum Completion'!$Z$4:$Z$38,'Status of Curriculum Completion'!$P$4:$P$38,"Geo NA Canada",'Status of Curriculum Completion'!$V$5:$V$39,"Planned")+SUMIFS('Status of Curriculum Completion'!$AM$4:$AM$38,'Status of Curriculum Completion'!$AC$4:$AC$38,"Geo NA Canada",'Status of Curriculum Completion'!$AI$4:$AI$38,"Planned")</f>
        <v>0</v>
      </c>
      <c r="M111" s="60">
        <f>SUMIFS('Status of Curriculum Completion'!$AZ$4:$AZ$38,'Status of Curriculum Completion'!$AP$4:$AP$38,"Geo NA Canada",'Status of Curriculum Completion'!$AT$4:$AT$38,"Complete")+SUMIFS('Status of Curriculum Completion'!$BM$4:$BM$38,'Status of Curriculum Completion'!$BC$4:$BC$38,"Geo NA Canada",'Status of Curriculum Completion'!$BG$4:$BG$38,"Complete")+SUMIFS('Status of Curriculum Completion'!$BZ$4:$BZ$38,'Status of Curriculum Completion'!$BP$4:$BP$38,"Geo NA Canada",'Status of Curriculum Completion'!$BT$4:$BT$38,"Complete")</f>
        <v>0</v>
      </c>
      <c r="N111" s="60">
        <f>SUMIFS('Status of Curriculum Completion'!$AZ$4:$AZ$38,'Status of Curriculum Completion'!$AP$4:$AP$38,"Geo NA Canada",'Status of Curriculum Completion'!$AT$4:$AT$38,"In Progress")+SUMIFS('Status of Curriculum Completion'!$BM$4:$BM$38,'Status of Curriculum Completion'!$BC$4:$BC$38,"Geo NA Canada",'Status of Curriculum Completion'!$BG$4:$BG$38,"In Progress")+SUMIFS('Status of Curriculum Completion'!$BZ$4:$BZ$38,'Status of Curriculum Completion'!$BP$4:$BP$38,"Geo NA Canada",'Status of Curriculum Completion'!$BT$4:$BT$38,"In Progress")</f>
        <v>24</v>
      </c>
      <c r="O111" s="60">
        <f>SUMIFS('Status of Curriculum Completion'!$AZ$4:$AZ$38,'Status of Curriculum Completion'!$AP$4:$AP$38,"Geo NA Canada",'Status of Curriculum Completion'!$AT$4:$AT$38,"Planned")+SUMIFS('Status of Curriculum Completion'!$BM$4:$BM$38,'Status of Curriculum Completion'!$BC$4:$BC$38,"Geo NA Canada",'Status of Curriculum Completion'!$BG$4:$BG$38,"Planned")+SUMIFS('Status of Curriculum Completion'!$BZ$4:$BZ$38,'Status of Curriculum Completion'!$BP$4:$BP$38,"Geo NA Canada",'Status of Curriculum Completion'!$BT$4:$BT$38,"Planned")</f>
        <v>0</v>
      </c>
      <c r="P111" s="60">
        <f>SUMIFS('Status of Curriculum Completion'!$AZ$4:$AZ$38,'Status of Curriculum Completion'!$AP$4:$AP$38,"Geo NA Canada",'Status of Curriculum Completion'!$AU$4:$AU$38,"Complete")+SUMIFS('Status of Curriculum Completion'!$BM$4:$BM$38,'Status of Curriculum Completion'!$BC$4:$BC$38,"Geo NA Canada",'Status of Curriculum Completion'!$BH$4:$BH$38,"Complete")+SUMIFS('Status of Curriculum Completion'!$BZ$4:$BZ$38,'Status of Curriculum Completion'!$BP$4:$BP$38,"Geo NA Canada",'Status of Curriculum Completion'!$BU$4:$BU$38,"Complete")</f>
        <v>0</v>
      </c>
      <c r="Q111" s="60">
        <f>SUMIFS('Status of Curriculum Completion'!$AZ$4:$AZ$38,'Status of Curriculum Completion'!$AP$4:$AP$38,"Geo NA Canada",'Status of Curriculum Completion'!$AU$4:$AU$38,"In Progress")+SUMIFS('Status of Curriculum Completion'!$BM$4:$BM$38,'Status of Curriculum Completion'!$BC$4:$BC$38,"Geo NA Canada",'Status of Curriculum Completion'!$BH$4:$BH$38,"In Progress")+SUMIFS('Status of Curriculum Completion'!$BZ$4:$BZ$38,'Status of Curriculum Completion'!$BP$4:$BP$38,"Geo NA Canada",'Status of Curriculum Completion'!$BU$4:$BU$38,"In Progress")</f>
        <v>0</v>
      </c>
      <c r="R111" s="60">
        <f>SUMIFS('Status of Curriculum Completion'!$AZ$4:$AZ$38,'Status of Curriculum Completion'!$AP$4:$AP$38,"Geo NA Canada",'Status of Curriculum Completion'!$AU$4:$AU$38,"Planned")+SUMIFS('Status of Curriculum Completion'!$BM$4:$BM$38,'Status of Curriculum Completion'!$BC$4:$BC$38,"Geo NA Canada",'Status of Curriculum Completion'!$BH$4:$BH$38,"Planned")+SUMIFS('Status of Curriculum Completion'!$BZ$4:$BZ$38,'Status of Curriculum Completion'!$BP$4:$BP$38,"Geo NA Canada",'Status of Curriculum Completion'!$BU$4:$BU$38,"Planned")</f>
        <v>0</v>
      </c>
      <c r="S111" s="60">
        <f>SUMIFS('Status of Curriculum Completion'!$AZ$4:$AZ$38,'Status of Curriculum Completion'!$AP$4:$AP$38,"Geo NA Canada",'Status of Curriculum Completion'!$AV$4:$AV$38,"Complete")+SUMIFS('Status of Curriculum Completion'!$BM$4:$BM$38,'Status of Curriculum Completion'!$BC$4:$BC$38,"Geo NA Canada",'Status of Curriculum Completion'!$BI$4:$BI$38,"Complete")+SUMIFS('Status of Curriculum Completion'!$BZ$4:$BZ$38,'Status of Curriculum Completion'!$BP$4:$BP$38,"Geo NA Canada",'Status of Curriculum Completion'!$BV$4:$BV$38,"Complete")</f>
        <v>0</v>
      </c>
      <c r="T111" s="60">
        <f>SUMIFS('Status of Curriculum Completion'!$AZ$4:$AZ$38,'Status of Curriculum Completion'!$AP$4:$AP$38,"Geo NA Canada",'Status of Curriculum Completion'!$AV$4:$AV$38,"In Progress")+SUMIFS('Status of Curriculum Completion'!$BM$4:$BM$38,'Status of Curriculum Completion'!$BC$4:$BC$38,"Geo NA Canada",'Status of Curriculum Completion'!$BI$4:$BI$38,"In Progress")+SUMIFS('Status of Curriculum Completion'!$BZ$4:$BZ$38,'Status of Curriculum Completion'!$BP$4:$BP$38,"Geo NA Canada",'Status of Curriculum Completion'!$BV$4:$BV$38,"In Progress")</f>
        <v>0</v>
      </c>
      <c r="U111" s="60">
        <f>SUMIFS('Status of Curriculum Completion'!$AZ$4:$AZ$38,'Status of Curriculum Completion'!$AP$4:$AP$38,"Geo NA Canada",'Status of Curriculum Completion'!$AV$4:$AV$38,"Planned")+SUMIFS('Status of Curriculum Completion'!$BM$4:$BM$38,'Status of Curriculum Completion'!$BC$4:$BC$38,"Geo NA Canada",'Status of Curriculum Completion'!$BI$4:$BI$38,"Planned")+SUMIFS('Status of Curriculum Completion'!$BZ$4:$BZ$38,'Status of Curriculum Completion'!$BP$4:$BP$38,"Geo NA Canada",'Status of Curriculum Completion'!$BV$4:$BV$38,"Planned")</f>
        <v>0</v>
      </c>
      <c r="V111"/>
      <c r="W111"/>
      <c r="X111" s="63" t="s">
        <v>1638</v>
      </c>
      <c r="Y111" s="61">
        <f>SUMIFS('Status of Curriculum Completion'!$CM$4:$CM$38,'Status of Curriculum Completion'!$CC$4:$CC$38,"Geo NA Canada",'Status of Curriculum Completion'!$CG$4:$CG$38,"Complete")+SUMIFS('Status of Curriculum Completion'!$CZ$4:$CZ$38,'Status of Curriculum Completion'!$CP$4:$CP$38,"Geo NA Canada",'Status of Curriculum Completion'!$CT$4:$CT$38,"Complete")+SUMIFS('Status of Curriculum Completion'!$DM$4:$DM$38,'Status of Curriculum Completion'!$DC$4:$DC$38,"Geo NA Canada",'Status of Curriculum Completion'!$DG$4:$DG$38,"Complete")</f>
        <v>0</v>
      </c>
      <c r="Z111" s="61">
        <f>SUMIFS('Status of Curriculum Completion'!$CM$4:$CM$38,'Status of Curriculum Completion'!$CC$4:$CC$38,"Geo NA Canada",'Status of Curriculum Completion'!$CG$4:$CG$38,"In Progress")+SUMIFS('Status of Curriculum Completion'!$CZ$4:$CZ$38,'Status of Curriculum Completion'!$CP$4:$CP$38,"Geo NA Canada",'Status of Curriculum Completion'!$CT$4:$CT$38,"In Progress")+SUMIFS('Status of Curriculum Completion'!$DM$4:$DM$38,'Status of Curriculum Completion'!$DC$4:$DC$38,"Geo NA Canada",'Status of Curriculum Completion'!$DG$4:$DG$38,"In Progress")</f>
        <v>0</v>
      </c>
      <c r="AA111" s="61">
        <f>SUMIFS('Status of Curriculum Completion'!$CM$4:$CM$38,'Status of Curriculum Completion'!$CC$4:$CC$38,"Geo NA Canada",'Status of Curriculum Completion'!$CG$4:$CG$38,"Planned")+SUMIFS('Status of Curriculum Completion'!$CZ$4:$CZ$38,'Status of Curriculum Completion'!$CP$4:$CP$38,"Geo NA Canada",'Status of Curriculum Completion'!$CT$4:$CT$38,"Planned")+SUMIFS('Status of Curriculum Completion'!$DM$4:$DM$38,'Status of Curriculum Completion'!$DC$4:$DC$38,"Geo NA Canada",'Status of Curriculum Completion'!$DG$4:$DG$38,"Planned")</f>
        <v>0</v>
      </c>
      <c r="AB111" s="61">
        <f>SUMIFS('Status of Curriculum Completion'!$CM$4:$CM$38,'Status of Curriculum Completion'!$CC$4:$CC$38,"Geo NA Canada",'Status of Curriculum Completion'!$CG$4:$CG$38,"Tentative")+SUMIFS('Status of Curriculum Completion'!$CZ$4:$CZ$38,'Status of Curriculum Completion'!$CP$4:$CP$38,"Geo NA Canada",'Status of Curriculum Completion'!$CT$4:$CT$38,"Tentative")+SUMIFS('Status of Curriculum Completion'!$DM$4:$DM$38,'Status of Curriculum Completion'!$DC$4:$DC$38,"Geo NA Canada",'Status of Curriculum Completion'!$DG$4:$DG$38,"Tentative")</f>
        <v>0</v>
      </c>
      <c r="AC111" s="61">
        <f>SUMIFS('Status of Curriculum Completion'!$CM$4:$CM$38,'Status of Curriculum Completion'!$CC$4:$CC$38,"Geo NA Canada",'Status of Curriculum Completion'!$CH$4:$CH$38,"Complete")+SUMIFS('Status of Curriculum Completion'!$CZ$4:$CZ$38,'Status of Curriculum Completion'!$CP$4:$CP$38,"Geo NA Canada",'Status of Curriculum Completion'!$CU$4:$CU$38,"Complete")+SUMIFS('Status of Curriculum Completion'!$DM$4:$DM$38,'Status of Curriculum Completion'!$DC$4:$DC$38,"Geo NA Canada",'Status of Curriculum Completion'!$DH$4:$DH$38,"Complete")</f>
        <v>0</v>
      </c>
      <c r="AD111" s="61">
        <f>SUMIFS('Status of Curriculum Completion'!$CM$4:$CM$38,'Status of Curriculum Completion'!$CC$4:$CC$38,"Geo NA Canada",'Status of Curriculum Completion'!$CH$4:$CH$38,"In Progress")+SUMIFS('Status of Curriculum Completion'!$CZ$4:$CZ$38,'Status of Curriculum Completion'!$CP$4:$CP$38,"Geo NA Canada",'Status of Curriculum Completion'!$CU$4:$CU$38,"In Progress")+SUMIFS('Status of Curriculum Completion'!$DM$4:$DM$38,'Status of Curriculum Completion'!$DC$4:$DC$38,"Geo NA Canada",'Status of Curriculum Completion'!$DH$4:$DH$38,"In Progress")</f>
        <v>0</v>
      </c>
      <c r="AE111" s="61">
        <f>SUMIFS('Status of Curriculum Completion'!$CM$4:$CM$38,'Status of Curriculum Completion'!$CC$4:$CC$38,"Geo NA Canada",'Status of Curriculum Completion'!$CH$4:$CH$38,"Planned")+SUMIFS('Status of Curriculum Completion'!$CZ$4:$CZ$38,'Status of Curriculum Completion'!$CP$4:$CP$38,"Geo NA Canada",'Status of Curriculum Completion'!$CU$4:$CU$38,"Planned")+SUMIFS('Status of Curriculum Completion'!$DM$4:$DM$38,'Status of Curriculum Completion'!$DC$4:$DC$38,"Geo NA Canada",'Status of Curriculum Completion'!$DH$4:$DH$38,"Planned")</f>
        <v>0</v>
      </c>
      <c r="AF111" s="61">
        <f>SUMIFS('Status of Curriculum Completion'!$CM$4:$CM$38,'Status of Curriculum Completion'!$CC$4:$CC$38,"Geo NA Canada",'Status of Curriculum Completion'!$CH$4:$CH$38,"Tentative")+SUMIFS('Status of Curriculum Completion'!$CZ$4:$CZ$38,'Status of Curriculum Completion'!$CP$4:$CP$38,"Geo NA Canada",'Status of Curriculum Completion'!$CU$4:$CU$38,"Tentative")+SUMIFS('Status of Curriculum Completion'!$DM$4:$DM$38,'Status of Curriculum Completion'!$DC$4:$DC$38,"Geo NA Canada",'Status of Curriculum Completion'!$DH$4:$DH$38,"Tentative")</f>
        <v>0</v>
      </c>
      <c r="AG111" s="61">
        <f>SUMIFS('Status of Curriculum Completion'!$CM$4:$CM$38,'Status of Curriculum Completion'!$CC$4:$CC$38,"Geo NA Canada",'Status of Curriculum Completion'!$CI$4:$CI$38,"Complete")+SUMIFS('Status of Curriculum Completion'!$CZ$4:$CZ$38,'Status of Curriculum Completion'!$CP$4:$CP$38,"Geo NA Canada",'Status of Curriculum Completion'!$CV$4:$CV$38,"Complete")+SUMIFS('Status of Curriculum Completion'!$DM$4:$DM$38,'Status of Curriculum Completion'!$DC$4:$DC$38,"Geo NA Canada",'Status of Curriculum Completion'!$DI$4:$DI$38,"Complete")</f>
        <v>0</v>
      </c>
      <c r="AH111" s="61">
        <f>SUMIFS('Status of Curriculum Completion'!$CM$4:$CM$38,'Status of Curriculum Completion'!$CC$4:$CC$38,"Geo NA Canada",'Status of Curriculum Completion'!$CI$4:$CI$38,"In Progress")+SUMIFS('Status of Curriculum Completion'!$CZ$4:$CZ$38,'Status of Curriculum Completion'!$CP$4:$CP$38,"Geo NA Canada",'Status of Curriculum Completion'!$CV$4:$CV$38,"In Progress")+SUMIFS('Status of Curriculum Completion'!$DM$4:$DM$38,'Status of Curriculum Completion'!$DC$4:$DC$38,"Geo NA Canada",'Status of Curriculum Completion'!$DI$4:$DI$38,"In Progress")</f>
        <v>0</v>
      </c>
      <c r="AI111" s="61">
        <f>SUMIFS('Status of Curriculum Completion'!$CM$4:$CM$38,'Status of Curriculum Completion'!$CC$4:$CC$38,"Geo NA Canada",'Status of Curriculum Completion'!$CI$4:$CI$38,"Planned")+SUMIFS('Status of Curriculum Completion'!$CZ$4:$CZ$38,'Status of Curriculum Completion'!$CP$4:$CP$38,"Geo NA Canada",'Status of Curriculum Completion'!$CV$4:$CV$38,"Planned")+SUMIFS('Status of Curriculum Completion'!$DM$4:$DM$38,'Status of Curriculum Completion'!$DC$4:$DC$38,"Geo NA Canada",'Status of Curriculum Completion'!$DI$4:$DI$38,"Planned")</f>
        <v>0</v>
      </c>
      <c r="AJ111" s="61">
        <f>SUMIFS('Status of Curriculum Completion'!$CM$4:$CM$38,'Status of Curriculum Completion'!$CC$4:$CC$38,"Geo NA Canada",'Status of Curriculum Completion'!$CI$4:$CI$38,"Tentative")+SUMIFS('Status of Curriculum Completion'!$CZ$4:$CZ$38,'Status of Curriculum Completion'!$CP$4:$CP$38,"Geo NA Canada",'Status of Curriculum Completion'!$CV$4:$CV$38,"Tentative")+SUMIFS('Status of Curriculum Completion'!$DM$4:$DM$38,'Status of Curriculum Completion'!$DC$4:$DC$38,"Geo NA Canada",'Status of Curriculum Completion'!$DI$4:$DI$38,"Tentative")</f>
        <v>0</v>
      </c>
      <c r="AK111" s="62">
        <f>SUMIFS('Status of Curriculum Completion'!$DZ$4:$DZ$38,'Status of Curriculum Completion'!$DP$4:$DP$38,"Geo NA Canada",'Status of Curriculum Completion'!$DT$4:$DT$38,"Complete")+SUMIFS('Status of Curriculum Completion'!$EM$4:$EM$38,'Status of Curriculum Completion'!$EC$4:$EC$38,"Geo NA Canada",'Status of Curriculum Completion'!$EG$4:$EG$38,"Complete")+SUMIFS('Status of Curriculum Completion'!$EZ$4:$EZ$38,'Status of Curriculum Completion'!$EP$4:$EP$38,"Geo NA Canada",'Status of Curriculum Completion'!$ET$4:$ET$38,"Complete")</f>
        <v>0</v>
      </c>
      <c r="AL111" s="62">
        <f>SUMIFS('Status of Curriculum Completion'!$DZ$4:$DZ$38,'Status of Curriculum Completion'!$DP$4:$DP$38,"Geo NA Canada",'Status of Curriculum Completion'!$DT$4:$DT$38,"In Progress")+SUMIFS('Status of Curriculum Completion'!$EM$4:$EM$38,'Status of Curriculum Completion'!$EC$4:$EC$38,"Geo NA Canada",'Status of Curriculum Completion'!$EG$4:$EG$38,"In Progress")+SUMIFS('Status of Curriculum Completion'!$EZ$4:$EZ$38,'Status of Curriculum Completion'!$EP$4:$EP$38,"Geo NA Canada",'Status of Curriculum Completion'!$ET$4:$ET$38,"In Progress")</f>
        <v>25</v>
      </c>
      <c r="AM111" s="62">
        <f>SUMIFS('Status of Curriculum Completion'!$DZ$4:$DZ$38,'Status of Curriculum Completion'!$DP$4:$DP$38,"Geo NA Canada",'Status of Curriculum Completion'!$DT$4:$DT$38,"Planned")+SUMIFS('Status of Curriculum Completion'!$EM$4:$EM$38,'Status of Curriculum Completion'!$EC$4:$EC$38,"Geo NA Canada",'Status of Curriculum Completion'!$EG$4:$EG$38,"Planned")+SUMIFS('Status of Curriculum Completion'!$EZ$4:$EZ$38,'Status of Curriculum Completion'!$EP$4:$EP$38,"Geo NA Canada",'Status of Curriculum Completion'!$ET$4:$ET$38,"Planned")</f>
        <v>0</v>
      </c>
      <c r="AN111" s="62">
        <f>SUMIFS('Status of Curriculum Completion'!$DZ$4:$DZ$38,'Status of Curriculum Completion'!$DP$4:$DP$38,"Geo NA Canada",'Status of Curriculum Completion'!$DT$4:$DT$38,"Tentative")+SUMIFS('Status of Curriculum Completion'!$EM$4:$EM$38,'Status of Curriculum Completion'!$EC$4:$EC$38,"Geo NA Canada",'Status of Curriculum Completion'!$EG$4:$EG$38,"Tentative")+SUMIFS('Status of Curriculum Completion'!$EZ$4:$EZ$38,'Status of Curriculum Completion'!$EP$4:$EP$38,"Geo NA Canada",'Status of Curriculum Completion'!$ET$4:$ET$38,"Tentative")</f>
        <v>0</v>
      </c>
      <c r="AO111" s="62">
        <f>SUMIFS('Status of Curriculum Completion'!$DZ$4:$DZ$38,'Status of Curriculum Completion'!$DP$4:$DP$38,"Geo NA Canada",'Status of Curriculum Completion'!$DU$4:$DU$38,"Complete")+SUMIFS('Status of Curriculum Completion'!$EM$4:$EM$38,'Status of Curriculum Completion'!$EC$4:$EC$38,"Geo NA Canada",'Status of Curriculum Completion'!$EH$4:$EH$38,"Complete")+SUMIFS('Status of Curriculum Completion'!$EZ$4:$EZ$38,'Status of Curriculum Completion'!$EP$4:$EP$38,"Geo NA Canada",'Status of Curriculum Completion'!$EU$4:$EU$38,"Complete")</f>
        <v>0</v>
      </c>
      <c r="AP111" s="62">
        <f>SUMIFS('Status of Curriculum Completion'!$DZ$4:$DZ$38,'Status of Curriculum Completion'!$DP$4:$DP$38,"Geo NA Canada",'Status of Curriculum Completion'!$DU$4:$DU$38,"In Progress")+SUMIFS('Status of Curriculum Completion'!$EM$4:$EM$38,'Status of Curriculum Completion'!$EC$4:$EC$38,"Geo NA Canada",'Status of Curriculum Completion'!$EH$4:$EH$38,"In Progress")+SUMIFS('Status of Curriculum Completion'!$EZ$4:$EZ$38,'Status of Curriculum Completion'!$EP$4:$EP$38,"Geo NA Canada",'Status of Curriculum Completion'!$EU$4:$EU$38,"In Progress")</f>
        <v>0</v>
      </c>
      <c r="AQ111" s="62">
        <f>SUMIFS('Status of Curriculum Completion'!$DZ$4:$DZ$38,'Status of Curriculum Completion'!$DP$4:$DP$38,"Geo NA Canada",'Status of Curriculum Completion'!$DU$4:$DU$38,"Planned")+SUMIFS('Status of Curriculum Completion'!$EM$4:$EM$38,'Status of Curriculum Completion'!$EC$4:$EC$38,"Geo NA Canada",'Status of Curriculum Completion'!$EH$4:$EH$38,"Planned")+SUMIFS('Status of Curriculum Completion'!$EZ$4:$EZ$38,'Status of Curriculum Completion'!$EP$4:$EP$38,"Geo NA Canada",'Status of Curriculum Completion'!$EU$4:$EU$38,"Planned")</f>
        <v>0</v>
      </c>
      <c r="AR111" s="62">
        <f>SUMIFS('Status of Curriculum Completion'!$DZ$4:$DZ$38,'Status of Curriculum Completion'!$DP$4:$DP$38,"Geo NA Canada",'Status of Curriculum Completion'!$DU$4:$DU$38,"Tentative")+SUMIFS('Status of Curriculum Completion'!$EM$4:$EM$38,'Status of Curriculum Completion'!$EC$4:$EC$38,"Geo NA Canada",'Status of Curriculum Completion'!$EH$4:$EH$38,"Tentative")+SUMIFS('Status of Curriculum Completion'!$EZ$4:$EZ$38,'Status of Curriculum Completion'!$EP$4:$EP$38,"Geo NA Canada",'Status of Curriculum Completion'!$EU$4:$EU$38,"Tentative")</f>
        <v>0</v>
      </c>
      <c r="AS111" s="62">
        <f>SUMIFS('Status of Curriculum Completion'!$DZ$4:$DZ$38,'Status of Curriculum Completion'!$DP$4:$DP$38,"Geo NA Canada",'Status of Curriculum Completion'!$DV$4:$DV$38,"Complete")+SUMIFS('Status of Curriculum Completion'!$EM$4:$EM$38,'Status of Curriculum Completion'!$EC$4:$EC$38,"Geo NA Canada",'Status of Curriculum Completion'!$EI$4:$EI$38,"Complete")+SUMIFS('Status of Curriculum Completion'!$EZ$4:$EZ$38,'Status of Curriculum Completion'!$EP$4:$EP$38,"Geo NA Canada",'Status of Curriculum Completion'!$EV$4:$EV$38,"Complete")</f>
        <v>0</v>
      </c>
      <c r="AT111" s="62">
        <f>SUMIFS('Status of Curriculum Completion'!$DZ$4:$DZ$38,'Status of Curriculum Completion'!$DP$4:$DP$38,"Geo NA Canada",'Status of Curriculum Completion'!$DV$4:$DV$38,"In Progress")+SUMIFS('Status of Curriculum Completion'!$EM$4:$EM$38,'Status of Curriculum Completion'!$EC$4:$EC$38,"Geo NA Canada",'Status of Curriculum Completion'!$EI$4:$EI$38,"In Progress")+SUMIFS('Status of Curriculum Completion'!$EZ$4:$EZ$38,'Status of Curriculum Completion'!$EP$4:$EP$38,"Geo NA Canada",'Status of Curriculum Completion'!$EV$4:$EV$38,"In Progress")</f>
        <v>0</v>
      </c>
      <c r="AU111" s="62">
        <f>SUMIFS('Status of Curriculum Completion'!$DZ$4:$DZ$38,'Status of Curriculum Completion'!$DP$4:$DP$38,"Geo NA Canada",'Status of Curriculum Completion'!$DV$4:$DV$38,"Planned")+SUMIFS('Status of Curriculum Completion'!$EM$4:$EM$38,'Status of Curriculum Completion'!$EC$4:$EC$38,"Geo NA Canada",'Status of Curriculum Completion'!$EI$4:$EI$38,"Planned")+SUMIFS('Status of Curriculum Completion'!$EZ$4:$EZ$38,'Status of Curriculum Completion'!$EP$4:$EP$38,"Geo NA Canada",'Status of Curriculum Completion'!$EV$4:$EV$38,"Planned")</f>
        <v>0</v>
      </c>
      <c r="AV111" s="62">
        <f>SUMIFS('Status of Curriculum Completion'!$DZ$4:$DZ$38,'Status of Curriculum Completion'!$DP$4:$DP$38,"Geo NA Canada",'Status of Curriculum Completion'!$DV$4:$DV$38,"Tentative")+SUMIFS('Status of Curriculum Completion'!$EM$4:$EM$38,'Status of Curriculum Completion'!$EC$4:$EC$38,"Geo NA Canada",'Status of Curriculum Completion'!$EI$4:$EI$38,"Tentative")+SUMIFS('Status of Curriculum Completion'!$EZ$4:$EZ$38,'Status of Curriculum Completion'!$EP$4:$EP$38,"Geo NA Canada",'Status of Curriculum Completion'!$EV$4:$EV$38,"Tentative")</f>
        <v>0</v>
      </c>
    </row>
    <row r="112" spans="3:48" ht="29.5" hidden="1" thickBot="1">
      <c r="C112" s="63" t="s">
        <v>1639</v>
      </c>
      <c r="D112" s="59">
        <f>SUMIFS('Status of Curriculum Completion'!$M$4:$M$38,'Status of Curriculum Completion'!$C$4:$C$38,"Geo NA US",'Status of Curriculum Completion'!$G$4:$G$38,"Complete")+SUMIFS('Status of Curriculum Completion'!$Z$4:$Z$38,'Status of Curriculum Completion'!$P$4:$P$38,"Geo NA US",'Status of Curriculum Completion'!$T$4:$T$38,"Complete")+SUMIFS('Status of Curriculum Completion'!$AM$4:$AM$38,'Status of Curriculum Completion'!$AC$4:$AC$38,"Geo NA US",'Status of Curriculum Completion'!$AG$4:$AG$38,"Complete")</f>
        <v>18</v>
      </c>
      <c r="E112" s="59">
        <f>SUMIFS('Status of Curriculum Completion'!$M$4:$M$38,'Status of Curriculum Completion'!$C$4:$C$38,"Geo NA US",'Status of Curriculum Completion'!$G$4:$G$38,"In progress")+SUMIFS('Status of Curriculum Completion'!$Z$4:$Z$38,'Status of Curriculum Completion'!$P$4:$P$38,"Geo NA US",'Status of Curriculum Completion'!$T$4:$T$38,"In progress")+SUMIFS('Status of Curriculum Completion'!$AM$4:$AM$38,'Status of Curriculum Completion'!$AC$4:$AC$38,"Geo NA US",'Status of Curriculum Completion'!$AG$4:$AG$38,"In progress")</f>
        <v>0</v>
      </c>
      <c r="F112" s="59">
        <f>SUMIFS('Status of Curriculum Completion'!$M$4:$M$38,'Status of Curriculum Completion'!$C$4:$C$38,"Geo NA US",'Status of Curriculum Completion'!$G$4:$G$38,"Planned")+SUMIFS('Status of Curriculum Completion'!$Z$4:$Z$38,'Status of Curriculum Completion'!$P$4:$P$38,"Geo NA US",'Status of Curriculum Completion'!$T$4:$T$38,"Planned")+SUMIFS('Status of Curriculum Completion'!$AM$4:$AM$38,'Status of Curriculum Completion'!$AC$4:$AC$38,"Geo NA US",'Status of Curriculum Completion'!$AG$4:$AG$38,"Planned")</f>
        <v>0</v>
      </c>
      <c r="G112" s="59">
        <f>SUMIFS('Status of Curriculum Completion'!$M$4:$M$38,'Status of Curriculum Completion'!$C$4:$C$38,"Geo NA US",'Status of Curriculum Completion'!$H$4:$H$38,"Complete")+SUMIFS('Status of Curriculum Completion'!$Z$4:$Z$38,'Status of Curriculum Completion'!$P$4:$P$38,"Geo NA US",'Status of Curriculum Completion'!$U$4:$U$38,"Complete")+SUMIFS('Status of Curriculum Completion'!$AM$4:$AM$38,'Status of Curriculum Completion'!$AC$4:$AC$38,"Geo NA US",'Status of Curriculum Completion'!$AH$4:$AH$38,"Complete")</f>
        <v>18</v>
      </c>
      <c r="H112" s="59">
        <f>SUMIFS('Status of Curriculum Completion'!$M$4:$M$38,'Status of Curriculum Completion'!$C$4:$C$38,"Geo NA US",'Status of Curriculum Completion'!$H$4:$H$38,"In Progress")+SUMIFS('Status of Curriculum Completion'!$Z$4:$Z$38,'Status of Curriculum Completion'!$P$4:$P$38,"Geo NA US",'Status of Curriculum Completion'!$U$4:$U$38,"In Progress")+SUMIFS('Status of Curriculum Completion'!$AM$4:$AM$38,'Status of Curriculum Completion'!$AC$4:$AC$38,"Geo NA US",'Status of Curriculum Completion'!$AH$4:$AH$38,"In Progress")</f>
        <v>0</v>
      </c>
      <c r="I112" s="59">
        <f>SUMIFS('Status of Curriculum Completion'!$M$4:$M$38,'Status of Curriculum Completion'!$C$4:$C$38,"Geo NA US",'Status of Curriculum Completion'!$H$4:$H$38,"Planned")+SUMIFS('Status of Curriculum Completion'!$Z$4:$Z$38,'Status of Curriculum Completion'!$P$4:$P$38,"Geo NA US",'Status of Curriculum Completion'!$U$4:$U$38,"Planned")+SUMIFS('Status of Curriculum Completion'!$AM$4:$AM$38,'Status of Curriculum Completion'!$AC$4:$AC$38,"Geo NA US",'Status of Curriculum Completion'!$AH$4:$AH$38,"Planned")</f>
        <v>0</v>
      </c>
      <c r="J112" s="59">
        <f>SUMIFS('Status of Curriculum Completion'!$M$4:$M$38,'Status of Curriculum Completion'!$C$4:$C$38,"Geo NA US",'Status of Curriculum Completion'!$I$4:$I$38,"Complete")+SUMIFS('Status of Curriculum Completion'!$Z$4:$Z$38,'Status of Curriculum Completion'!$P$4:$P$38,"Geo NA US",'Status of Curriculum Completion'!$V$4:$V$38,"Complete")+SUMIFS('Status of Curriculum Completion'!$AM$4:$AM$38,'Status of Curriculum Completion'!$AC$4:$AC$38,"Geo NA US",'Status of Curriculum Completion'!$AI$4:$AI$38,"Complete")</f>
        <v>18</v>
      </c>
      <c r="K112" s="59">
        <f>SUMIFS('Status of Curriculum Completion'!$M$4:$M$38,'Status of Curriculum Completion'!$C$4:$C$38,"Geo NA US",'Status of Curriculum Completion'!$I$4:$I$38,"In Progress")+SUMIFS('Status of Curriculum Completion'!$Z$4:$Z$38,'Status of Curriculum Completion'!$P$4:$P$38,"Geo NA US",'Status of Curriculum Completion'!$V$4:$V$38,"In Progress")+SUMIFS('Status of Curriculum Completion'!$AM$4:$AM$38,'Status of Curriculum Completion'!$AC$4:$AC$38,"Geo NA US",'Status of Curriculum Completion'!$AI$4:$AI$38,"In Progress")</f>
        <v>0</v>
      </c>
      <c r="L112" s="59">
        <f>SUMIFS('Status of Curriculum Completion'!$M$4:$M$38,'Status of Curriculum Completion'!$C$4:$C$38,"Geo NA US",'Status of Curriculum Completion'!$I$4:$I$38,"Planned")+SUMIFS('Status of Curriculum Completion'!$Z$4:$Z$38,'Status of Curriculum Completion'!$P$4:$P$38,"Geo NA US",'Status of Curriculum Completion'!$V$4:$V$38,"Planned")+SUMIFS('Status of Curriculum Completion'!$AM$4:$AM$38,'Status of Curriculum Completion'!$AC$4:$AC$38,"Geo NA US",'Status of Curriculum Completion'!$AI$4:$AI$38,"Planned")</f>
        <v>0</v>
      </c>
      <c r="M112" s="60">
        <f>SUMIFS('Status of Curriculum Completion'!$AZ$4:$AZ$38,'Status of Curriculum Completion'!$AP$4:$AP$38,"Geo NA US",'Status of Curriculum Completion'!$AT$4:$AT$38,"Complete")+SUMIFS('Status of Curriculum Completion'!$BM$4:$BM$38,'Status of Curriculum Completion'!$BC$4:$BC$38,"Geo NA US",'Status of Curriculum Completion'!$BG$4:$BG$38,"Complete")+SUMIFS('Status of Curriculum Completion'!$BZ$4:$BZ$38,'Status of Curriculum Completion'!$BP$4:$BP$38,"Geo NA US",'Status of Curriculum Completion'!$BT$4:$BT$38,"Complete")</f>
        <v>10</v>
      </c>
      <c r="N112" s="60">
        <f>SUMIFS('Status of Curriculum Completion'!$AZ$4:$AZ$38,'Status of Curriculum Completion'!$AP$4:$AP$38,"Geo NA US",'Status of Curriculum Completion'!$AT$4:$AT$38,"In Progress")+SUMIFS('Status of Curriculum Completion'!$BM$4:$BM$38,'Status of Curriculum Completion'!$BC$4:$BC$38,"Geo NA US",'Status of Curriculum Completion'!$BG$4:$BG$38,"In Progress")+SUMIFS('Status of Curriculum Completion'!$BZ$4:$BZ$38,'Status of Curriculum Completion'!$BP$4:$BP$38,"Geo NA US",'Status of Curriculum Completion'!$BT$4:$BT$38,"In Progress")</f>
        <v>0</v>
      </c>
      <c r="O112" s="60">
        <f>SUMIFS('Status of Curriculum Completion'!$AZ$4:$AZ$38,'Status of Curriculum Completion'!$AP$4:$AP$38,"Geo NA US",'Status of Curriculum Completion'!$AT$4:$AT$38,"Planned")+SUMIFS('Status of Curriculum Completion'!$BM$4:$BM$38,'Status of Curriculum Completion'!$BC$4:$BC$38,"Geo NA US",'Status of Curriculum Completion'!$BG$4:$BG$38,"Planned")+SUMIFS('Status of Curriculum Completion'!$BZ$4:$BZ$38,'Status of Curriculum Completion'!$BP$4:$BP$38,"Geo NA US",'Status of Curriculum Completion'!$BT$4:$BT$38,"Planned")</f>
        <v>0</v>
      </c>
      <c r="P112" s="60">
        <f>SUMIFS('Status of Curriculum Completion'!$AZ$4:$AZ$38,'Status of Curriculum Completion'!$AP$4:$AP$38,"Geo NA US",'Status of Curriculum Completion'!$AU$4:$AU$38,"Complete")+SUMIFS('Status of Curriculum Completion'!$BM$4:$BM$38,'Status of Curriculum Completion'!$BC$4:$BC$38,"Geo NA US",'Status of Curriculum Completion'!$BH$4:$BH$38,"Complete")+SUMIFS('Status of Curriculum Completion'!$BZ$4:$BZ$38,'Status of Curriculum Completion'!$BP$4:$BP$38,"Geo NA US",'Status of Curriculum Completion'!$BU$4:$BU$38,"Complete")</f>
        <v>10</v>
      </c>
      <c r="Q112" s="60">
        <f>SUMIFS('Status of Curriculum Completion'!$AZ$4:$AZ$38,'Status of Curriculum Completion'!$AP$4:$AP$38,"Geo NA US",'Status of Curriculum Completion'!$AU$4:$AU$38,"In Progress")+SUMIFS('Status of Curriculum Completion'!$BM$4:$BM$38,'Status of Curriculum Completion'!$BC$4:$BC$38,"Geo NA US",'Status of Curriculum Completion'!$BH$4:$BH$38,"In Progress")+SUMIFS('Status of Curriculum Completion'!$BZ$4:$BZ$38,'Status of Curriculum Completion'!$BP$4:$BP$38,"Geo NA US",'Status of Curriculum Completion'!$BU$4:$BU$38,"In Progress")</f>
        <v>0</v>
      </c>
      <c r="R112" s="60">
        <f>SUMIFS('Status of Curriculum Completion'!$AZ$4:$AZ$38,'Status of Curriculum Completion'!$AP$4:$AP$38,"Geo NA US",'Status of Curriculum Completion'!$AU$4:$AU$38,"Planned")+SUMIFS('Status of Curriculum Completion'!$BM$4:$BM$38,'Status of Curriculum Completion'!$BC$4:$BC$38,"Geo NA US",'Status of Curriculum Completion'!$BH$4:$BH$38,"Planned")+SUMIFS('Status of Curriculum Completion'!$BZ$4:$BZ$38,'Status of Curriculum Completion'!$BP$4:$BP$38,"Geo NA US",'Status of Curriculum Completion'!$BU$4:$BU$38,"Planned")</f>
        <v>0</v>
      </c>
      <c r="S112" s="60">
        <f>SUMIFS('Status of Curriculum Completion'!$AZ$4:$AZ$38,'Status of Curriculum Completion'!$AP$4:$AP$38,"Geo NA US",'Status of Curriculum Completion'!$AV$4:$AV$38,"Complete")+SUMIFS('Status of Curriculum Completion'!$BM$4:$BM$38,'Status of Curriculum Completion'!$BC$4:$BC$38,"Geo NA US",'Status of Curriculum Completion'!$BI$4:$BI$38,"Complete")+SUMIFS('Status of Curriculum Completion'!$BZ$4:$BZ$38,'Status of Curriculum Completion'!$BP$4:$BP$38,"Geo NA US",'Status of Curriculum Completion'!$BV$4:$BV$38,"Complete")</f>
        <v>10</v>
      </c>
      <c r="T112" s="60">
        <f>SUMIFS('Status of Curriculum Completion'!$AZ$4:$AZ$38,'Status of Curriculum Completion'!$AP$4:$AP$38,"Geo NA US",'Status of Curriculum Completion'!$AV$4:$AV$38,"In Progress")+SUMIFS('Status of Curriculum Completion'!$BM$4:$BM$38,'Status of Curriculum Completion'!$BC$4:$BC$38,"Geo NA US",'Status of Curriculum Completion'!$BI$4:$BI$38,"In Progress")+SUMIFS('Status of Curriculum Completion'!$BZ$4:$BZ$38,'Status of Curriculum Completion'!$BP$4:$BP$38,"Geo NA US",'Status of Curriculum Completion'!$BV$4:$BV$38,"In Progress")</f>
        <v>0</v>
      </c>
      <c r="U112" s="60">
        <f>SUMIFS('Status of Curriculum Completion'!$AZ$4:$AZ$38,'Status of Curriculum Completion'!$AP$4:$AP$38,"Geo NA US",'Status of Curriculum Completion'!$AV$4:$AV$38,"Planned")+SUMIFS('Status of Curriculum Completion'!$BM$4:$BM$38,'Status of Curriculum Completion'!$BC$4:$BC$38,"Geo NA US",'Status of Curriculum Completion'!$BI$4:$BI$38,"Planned")+SUMIFS('Status of Curriculum Completion'!$BZ$4:$BZ$38,'Status of Curriculum Completion'!$BP$4:$BP$38,"Geo NA US",'Status of Curriculum Completion'!$BV$4:$BV$38,"Planned")</f>
        <v>0</v>
      </c>
      <c r="V112"/>
      <c r="W112"/>
      <c r="X112" s="63" t="s">
        <v>1639</v>
      </c>
      <c r="Y112" s="61">
        <f>SUMIFS('Status of Curriculum Completion'!$CM$4:$CM$38,'Status of Curriculum Completion'!$CC$4:$CC$38,"Geo NA US",'Status of Curriculum Completion'!$CG$4:$CG$38,"Complete")+SUMIFS('Status of Curriculum Completion'!$CZ$4:$CZ$38,'Status of Curriculum Completion'!$CP$4:$CP$38,"Geo NA US",'Status of Curriculum Completion'!$CT$4:$CT$38,"Complete")+SUMIFS('Status of Curriculum Completion'!$DM$4:$DM$38,'Status of Curriculum Completion'!$DC$4:$DC$38,"Geo NA US",'Status of Curriculum Completion'!$DG$4:$DG$38,"Complete")</f>
        <v>46</v>
      </c>
      <c r="Z112" s="61">
        <f>SUMIFS('Status of Curriculum Completion'!$CM$4:$CM$38,'Status of Curriculum Completion'!$CC$4:$CC$38,"Geo NA US",'Status of Curriculum Completion'!$CG$4:$CG$38,"In Progress")+SUMIFS('Status of Curriculum Completion'!$CZ$4:$CZ$38,'Status of Curriculum Completion'!$CP$4:$CP$38,"Geo NA US",'Status of Curriculum Completion'!$CT$4:$CT$38,"In Progress")+SUMIFS('Status of Curriculum Completion'!$DM$4:$DM$38,'Status of Curriculum Completion'!$DC$4:$DC$38,"Geo NA US",'Status of Curriculum Completion'!$DG$4:$DG$38,"In Progress")</f>
        <v>37</v>
      </c>
      <c r="AA112" s="61">
        <f>SUMIFS('Status of Curriculum Completion'!$CM$4:$CM$38,'Status of Curriculum Completion'!$CC$4:$CC$38,"Geo NA US",'Status of Curriculum Completion'!$CG$4:$CG$38,"Planned")+SUMIFS('Status of Curriculum Completion'!$CZ$4:$CZ$38,'Status of Curriculum Completion'!$CP$4:$CP$38,"Geo NA US",'Status of Curriculum Completion'!$CT$4:$CT$38,"Planned")+SUMIFS('Status of Curriculum Completion'!$DM$4:$DM$38,'Status of Curriculum Completion'!$DC$4:$DC$38,"Geo NA US",'Status of Curriculum Completion'!$DG$4:$DG$38,"Planned")</f>
        <v>0</v>
      </c>
      <c r="AB112" s="61">
        <f>SUMIFS('Status of Curriculum Completion'!$CM$4:$CM$38,'Status of Curriculum Completion'!$CC$4:$CC$38,"Geo NA US",'Status of Curriculum Completion'!$CG$4:$CG$38,"Tentative")+SUMIFS('Status of Curriculum Completion'!$CZ$4:$CZ$38,'Status of Curriculum Completion'!$CP$4:$CP$38,"Geo NA US",'Status of Curriculum Completion'!$CT$4:$CT$38,"Tentative")+SUMIFS('Status of Curriculum Completion'!$DM$4:$DM$38,'Status of Curriculum Completion'!$DC$4:$DC$38,"Geo NA US",'Status of Curriculum Completion'!$DG$4:$DG$38,"Tentative")</f>
        <v>0</v>
      </c>
      <c r="AC112" s="61">
        <f>SUMIFS('Status of Curriculum Completion'!$CM$4:$CM$38,'Status of Curriculum Completion'!$CC$4:$CC$38,"Geo NA US",'Status of Curriculum Completion'!$CH$4:$CH$38,"Complete")+SUMIFS('Status of Curriculum Completion'!$CZ$4:$CZ$38,'Status of Curriculum Completion'!$CP$4:$CP$38,"Geo NA US",'Status of Curriculum Completion'!$CU$4:$CU$38,"Complete")+SUMIFS('Status of Curriculum Completion'!$DM$4:$DM$38,'Status of Curriculum Completion'!$DC$4:$DC$38,"Geo NA US",'Status of Curriculum Completion'!$DH$4:$DH$38,"Complete")</f>
        <v>46</v>
      </c>
      <c r="AD112" s="61">
        <f>SUMIFS('Status of Curriculum Completion'!$CM$4:$CM$38,'Status of Curriculum Completion'!$CC$4:$CC$38,"Geo NA US",'Status of Curriculum Completion'!$CH$4:$CH$38,"In Progress")+SUMIFS('Status of Curriculum Completion'!$CZ$4:$CZ$38,'Status of Curriculum Completion'!$CP$4:$CP$38,"Geo NA US",'Status of Curriculum Completion'!$CU$4:$CU$38,"In Progress")+SUMIFS('Status of Curriculum Completion'!$DM$4:$DM$38,'Status of Curriculum Completion'!$DC$4:$DC$38,"Geo NA US",'Status of Curriculum Completion'!$DH$4:$DH$38,"In Progress")</f>
        <v>0</v>
      </c>
      <c r="AE112" s="61">
        <f>SUMIFS('Status of Curriculum Completion'!$CM$4:$CM$38,'Status of Curriculum Completion'!$CC$4:$CC$38,"Geo NA US",'Status of Curriculum Completion'!$CH$4:$CH$38,"Planned")+SUMIFS('Status of Curriculum Completion'!$CZ$4:$CZ$38,'Status of Curriculum Completion'!$CP$4:$CP$38,"Geo NA US",'Status of Curriculum Completion'!$CU$4:$CU$38,"Planned")+SUMIFS('Status of Curriculum Completion'!$DM$4:$DM$38,'Status of Curriculum Completion'!$DC$4:$DC$38,"Geo NA US",'Status of Curriculum Completion'!$DH$4:$DH$38,"Planned")</f>
        <v>0</v>
      </c>
      <c r="AF112" s="61">
        <f>SUMIFS('Status of Curriculum Completion'!$CM$4:$CM$38,'Status of Curriculum Completion'!$CC$4:$CC$38,"Geo NA US",'Status of Curriculum Completion'!$CH$4:$CH$38,"Tentative")+SUMIFS('Status of Curriculum Completion'!$CZ$4:$CZ$38,'Status of Curriculum Completion'!$CP$4:$CP$38,"Geo NA US",'Status of Curriculum Completion'!$CU$4:$CU$38,"Tentative")+SUMIFS('Status of Curriculum Completion'!$DM$4:$DM$38,'Status of Curriculum Completion'!$DC$4:$DC$38,"Geo NA US",'Status of Curriculum Completion'!$DH$4:$DH$38,"Tentative")</f>
        <v>0</v>
      </c>
      <c r="AG112" s="61">
        <f>SUMIFS('Status of Curriculum Completion'!$CM$4:$CM$38,'Status of Curriculum Completion'!$CC$4:$CC$38,"Geo NA US",'Status of Curriculum Completion'!$CI$4:$CI$38,"Complete")+SUMIFS('Status of Curriculum Completion'!$CZ$4:$CZ$38,'Status of Curriculum Completion'!$CP$4:$CP$38,"Geo NA US",'Status of Curriculum Completion'!$CV$4:$CV$38,"Complete")+SUMIFS('Status of Curriculum Completion'!$DM$4:$DM$38,'Status of Curriculum Completion'!$DC$4:$DC$38,"Geo NA US",'Status of Curriculum Completion'!$DI$4:$DI$38,"Complete")</f>
        <v>16</v>
      </c>
      <c r="AH112" s="61">
        <f>SUMIFS('Status of Curriculum Completion'!$CM$4:$CM$38,'Status of Curriculum Completion'!$CC$4:$CC$38,"Geo NA US",'Status of Curriculum Completion'!$CI$4:$CI$38,"In Progress")+SUMIFS('Status of Curriculum Completion'!$CZ$4:$CZ$38,'Status of Curriculum Completion'!$CP$4:$CP$38,"Geo NA US",'Status of Curriculum Completion'!$CV$4:$CV$38,"In Progress")+SUMIFS('Status of Curriculum Completion'!$DM$4:$DM$38,'Status of Curriculum Completion'!$DC$4:$DC$38,"Geo NA US",'Status of Curriculum Completion'!$DI$4:$DI$38,"In Progress")</f>
        <v>30</v>
      </c>
      <c r="AI112" s="61">
        <f>SUMIFS('Status of Curriculum Completion'!$CM$4:$CM$38,'Status of Curriculum Completion'!$CC$4:$CC$38,"Geo NA US",'Status of Curriculum Completion'!$CI$4:$CI$38,"Planned")+SUMIFS('Status of Curriculum Completion'!$CZ$4:$CZ$38,'Status of Curriculum Completion'!$CP$4:$CP$38,"Geo NA US",'Status of Curriculum Completion'!$CV$4:$CV$38,"Planned")+SUMIFS('Status of Curriculum Completion'!$DM$4:$DM$38,'Status of Curriculum Completion'!$DC$4:$DC$38,"Geo NA US",'Status of Curriculum Completion'!$DI$4:$DI$38,"Planned")</f>
        <v>0</v>
      </c>
      <c r="AJ112" s="61">
        <f>SUMIFS('Status of Curriculum Completion'!$CM$4:$CM$38,'Status of Curriculum Completion'!$CC$4:$CC$38,"Geo NA US",'Status of Curriculum Completion'!$CI$4:$CI$38,"Tentative")+SUMIFS('Status of Curriculum Completion'!$CZ$4:$CZ$38,'Status of Curriculum Completion'!$CP$4:$CP$38,"Geo NA US",'Status of Curriculum Completion'!$CV$4:$CV$38,"Tentative")+SUMIFS('Status of Curriculum Completion'!$DM$4:$DM$38,'Status of Curriculum Completion'!$DC$4:$DC$38,"Geo NA US",'Status of Curriculum Completion'!$DI$4:$DI$38,"Tentative")</f>
        <v>0</v>
      </c>
      <c r="AK112" s="62">
        <f>SUMIFS('Status of Curriculum Completion'!$DZ$4:$DZ$38,'Status of Curriculum Completion'!$DP$4:$DP$38,"Geo NA US",'Status of Curriculum Completion'!$DT$4:$DT$38,"Complete")+SUMIFS('Status of Curriculum Completion'!$EM$4:$EM$38,'Status of Curriculum Completion'!$EC$4:$EC$38,"Geo NA US",'Status of Curriculum Completion'!$EG$4:$EG$38,"Complete")+SUMIFS('Status of Curriculum Completion'!$EZ$4:$EZ$38,'Status of Curriculum Completion'!$EP$4:$EP$38,"Geo NA US",'Status of Curriculum Completion'!$ET$4:$ET$38,"Complete")</f>
        <v>0</v>
      </c>
      <c r="AL112" s="62">
        <f>SUMIFS('Status of Curriculum Completion'!$DZ$4:$DZ$38,'Status of Curriculum Completion'!$DP$4:$DP$38,"Geo NA US",'Status of Curriculum Completion'!$DT$4:$DT$38,"In Progress")+SUMIFS('Status of Curriculum Completion'!$EM$4:$EM$38,'Status of Curriculum Completion'!$EC$4:$EC$38,"Geo NA US",'Status of Curriculum Completion'!$EG$4:$EG$38,"In Progress")+SUMIFS('Status of Curriculum Completion'!$EZ$4:$EZ$38,'Status of Curriculum Completion'!$EP$4:$EP$38,"Geo NA US",'Status of Curriculum Completion'!$ET$4:$ET$38,"In Progress")</f>
        <v>49</v>
      </c>
      <c r="AM112" s="62">
        <f>SUMIFS('Status of Curriculum Completion'!$DZ$4:$DZ$38,'Status of Curriculum Completion'!$DP$4:$DP$38,"Geo NA US",'Status of Curriculum Completion'!$DT$4:$DT$38,"Planned")+SUMIFS('Status of Curriculum Completion'!$EM$4:$EM$38,'Status of Curriculum Completion'!$EC$4:$EC$38,"Geo NA US",'Status of Curriculum Completion'!$EG$4:$EG$38,"Planned")+SUMIFS('Status of Curriculum Completion'!$EZ$4:$EZ$38,'Status of Curriculum Completion'!$EP$4:$EP$38,"Geo NA US",'Status of Curriculum Completion'!$ET$4:$ET$38,"Planned")</f>
        <v>0</v>
      </c>
      <c r="AN112" s="62">
        <f>SUMIFS('Status of Curriculum Completion'!$DZ$4:$DZ$38,'Status of Curriculum Completion'!$DP$4:$DP$38,"Geo NA US",'Status of Curriculum Completion'!$DT$4:$DT$38,"Tentative")+SUMIFS('Status of Curriculum Completion'!$EM$4:$EM$38,'Status of Curriculum Completion'!$EC$4:$EC$38,"Geo NA US",'Status of Curriculum Completion'!$EG$4:$EG$38,"Tentative")+SUMIFS('Status of Curriculum Completion'!$EZ$4:$EZ$38,'Status of Curriculum Completion'!$EP$4:$EP$38,"Geo NA US",'Status of Curriculum Completion'!$ET$4:$ET$38,"Tentative")</f>
        <v>0</v>
      </c>
      <c r="AO112" s="62">
        <f>SUMIFS('Status of Curriculum Completion'!$DZ$4:$DZ$38,'Status of Curriculum Completion'!$DP$4:$DP$38,"Geo NA US",'Status of Curriculum Completion'!$DU$4:$DU$38,"Complete")+SUMIFS('Status of Curriculum Completion'!$EM$4:$EM$38,'Status of Curriculum Completion'!$EC$4:$EC$38,"Geo NA US",'Status of Curriculum Completion'!$EH$4:$EH$38,"Complete")+SUMIFS('Status of Curriculum Completion'!$EZ$4:$EZ$38,'Status of Curriculum Completion'!$EP$4:$EP$38,"Geo NA US",'Status of Curriculum Completion'!$EU$4:$EU$38,"Complete")</f>
        <v>0</v>
      </c>
      <c r="AP112" s="62">
        <f>SUMIFS('Status of Curriculum Completion'!$DZ$4:$DZ$38,'Status of Curriculum Completion'!$DP$4:$DP$38,"Geo NA US",'Status of Curriculum Completion'!$DU$4:$DU$38,"In Progress")+SUMIFS('Status of Curriculum Completion'!$EM$4:$EM$38,'Status of Curriculum Completion'!$EC$4:$EC$38,"Geo NA US",'Status of Curriculum Completion'!$EH$4:$EH$38,"In Progress")+SUMIFS('Status of Curriculum Completion'!$EZ$4:$EZ$38,'Status of Curriculum Completion'!$EP$4:$EP$38,"Geo NA US",'Status of Curriculum Completion'!$EU$4:$EU$38,"In Progress")</f>
        <v>0</v>
      </c>
      <c r="AQ112" s="62">
        <f>SUMIFS('Status of Curriculum Completion'!$DZ$4:$DZ$38,'Status of Curriculum Completion'!$DP$4:$DP$38,"Geo NA US",'Status of Curriculum Completion'!$DU$4:$DU$38,"Planned")+SUMIFS('Status of Curriculum Completion'!$EM$4:$EM$38,'Status of Curriculum Completion'!$EC$4:$EC$38,"Geo NA US",'Status of Curriculum Completion'!$EH$4:$EH$38,"Planned")+SUMIFS('Status of Curriculum Completion'!$EZ$4:$EZ$38,'Status of Curriculum Completion'!$EP$4:$EP$38,"Geo NA US",'Status of Curriculum Completion'!$EU$4:$EU$38,"Planned")</f>
        <v>0</v>
      </c>
      <c r="AR112" s="62">
        <f>SUMIFS('Status of Curriculum Completion'!$DZ$4:$DZ$38,'Status of Curriculum Completion'!$DP$4:$DP$38,"Geo NA US",'Status of Curriculum Completion'!$DU$4:$DU$38,"Tentative")+SUMIFS('Status of Curriculum Completion'!$EM$4:$EM$38,'Status of Curriculum Completion'!$EC$4:$EC$38,"Geo NA US",'Status of Curriculum Completion'!$EH$4:$EH$38,"Tentative")+SUMIFS('Status of Curriculum Completion'!$EZ$4:$EZ$38,'Status of Curriculum Completion'!$EP$4:$EP$38,"Geo NA US",'Status of Curriculum Completion'!$EU$4:$EU$38,"Tentative")</f>
        <v>0</v>
      </c>
      <c r="AS112" s="62">
        <f>SUMIFS('Status of Curriculum Completion'!$DZ$4:$DZ$38,'Status of Curriculum Completion'!$DP$4:$DP$38,"Geo NA US",'Status of Curriculum Completion'!$DV$4:$DV$38,"Complete")+SUMIFS('Status of Curriculum Completion'!$EM$4:$EM$38,'Status of Curriculum Completion'!$EC$4:$EC$38,"Geo NA US",'Status of Curriculum Completion'!$EI$4:$EI$38,"Complete")+SUMIFS('Status of Curriculum Completion'!$EZ$4:$EZ$38,'Status of Curriculum Completion'!$EP$4:$EP$38,"Geo NA US",'Status of Curriculum Completion'!$EV$4:$EV$38,"Complete")</f>
        <v>0</v>
      </c>
      <c r="AT112" s="62">
        <f>SUMIFS('Status of Curriculum Completion'!$DZ$4:$DZ$38,'Status of Curriculum Completion'!$DP$4:$DP$38,"Geo NA US",'Status of Curriculum Completion'!$DV$4:$DV$38,"In Progress")+SUMIFS('Status of Curriculum Completion'!$EM$4:$EM$38,'Status of Curriculum Completion'!$EC$4:$EC$38,"Geo NA US",'Status of Curriculum Completion'!$EI$4:$EI$38,"In Progress")+SUMIFS('Status of Curriculum Completion'!$EZ$4:$EZ$38,'Status of Curriculum Completion'!$EP$4:$EP$38,"Geo NA US",'Status of Curriculum Completion'!$EV$4:$EV$38,"In Progress")</f>
        <v>0</v>
      </c>
      <c r="AU112" s="62">
        <f>SUMIFS('Status of Curriculum Completion'!$DZ$4:$DZ$38,'Status of Curriculum Completion'!$DP$4:$DP$38,"Geo NA US",'Status of Curriculum Completion'!$DV$4:$DV$38,"Planned")+SUMIFS('Status of Curriculum Completion'!$EM$4:$EM$38,'Status of Curriculum Completion'!$EC$4:$EC$38,"Geo NA US",'Status of Curriculum Completion'!$EI$4:$EI$38,"Planned")+SUMIFS('Status of Curriculum Completion'!$EZ$4:$EZ$38,'Status of Curriculum Completion'!$EP$4:$EP$38,"Geo NA US",'Status of Curriculum Completion'!$EV$4:$EV$38,"Planned")</f>
        <v>0</v>
      </c>
      <c r="AV112" s="62">
        <f>SUMIFS('Status of Curriculum Completion'!$DZ$4:$DZ$38,'Status of Curriculum Completion'!$DP$4:$DP$38,"Geo NA US",'Status of Curriculum Completion'!$DV$4:$DV$38,"Tentative")+SUMIFS('Status of Curriculum Completion'!$EM$4:$EM$38,'Status of Curriculum Completion'!$EC$4:$EC$38,"Geo NA US",'Status of Curriculum Completion'!$EI$4:$EI$38,"Tentative")+SUMIFS('Status of Curriculum Completion'!$EZ$4:$EZ$38,'Status of Curriculum Completion'!$EP$4:$EP$38,"Geo NA US",'Status of Curriculum Completion'!$EV$4:$EV$38,"Tentative")</f>
        <v>0</v>
      </c>
    </row>
    <row r="113" spans="3:48" ht="44" hidden="1" thickBot="1">
      <c r="C113" s="63" t="s">
        <v>1640</v>
      </c>
      <c r="D113" s="59">
        <f>SUMIFS('Status of Curriculum Completion'!$M$4:$M$38,'Status of Curriculum Completion'!$C$4:$C$38,"Geo WE",'Status of Curriculum Completion'!$G$4:$G$38,"Complete")+SUMIFS('Status of Curriculum Completion'!$Z$4:$Z$38,'Status of Curriculum Completion'!$P$4:$P$38,"Geo WE",'Status of Curriculum Completion'!$T$4:$T$38,"Complete")+SUMIFS('Status of Curriculum Completion'!$AM$4:$AM$38,'Status of Curriculum Completion'!$AC$4:$AC$38,"Geo WE",'Status of Curriculum Completion'!$AG$4:$AG$38,"Complete")</f>
        <v>6</v>
      </c>
      <c r="E113" s="59">
        <f>SUMIFS('Status of Curriculum Completion'!$M$4:$M$38,'Status of Curriculum Completion'!$C$4:$C$38,"Geo WE",'Status of Curriculum Completion'!$G$4:$G$38,"In progress")+SUMIFS('Status of Curriculum Completion'!$Z$4:$Z$38,'Status of Curriculum Completion'!$P$4:$P$38,"Geo WE",'Status of Curriculum Completion'!$T$4:$T$38,"In progress")+SUMIFS('Status of Curriculum Completion'!$AM$4:$AM$38,'Status of Curriculum Completion'!$AC$4:$AC$38,"Geo WE",'Status of Curriculum Completion'!$AG$4:$AG$38,"In progress")</f>
        <v>0</v>
      </c>
      <c r="F113"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G113" s="59">
        <f>SUMIFS('Status of Curriculum Completion'!$M$4:$M$38,'Status of Curriculum Completion'!$C$4:$C$38,"Geo WE",'Status of Curriculum Completion'!$H$4:$H$38,"Complete")+SUMIFS('Status of Curriculum Completion'!$Z$4:$Z$38,'Status of Curriculum Completion'!$P$4:$P$38,"Geo WE",'Status of Curriculum Completion'!$U$4:$U$38,"Complete")+SUMIFS('Status of Curriculum Completion'!$AM$4:$AM$38,'Status of Curriculum Completion'!$AC$4:$AC$38,"Geo WE",'Status of Curriculum Completion'!$AH$4:$AH$38,"Complete")</f>
        <v>6</v>
      </c>
      <c r="H113" s="59">
        <f>SUMIFS('Status of Curriculum Completion'!$M$4:$M$38,'Status of Curriculum Completion'!$C$4:$C$38,"Geo WE",'Status of Curriculum Completion'!$H$4:$H$38,"In Progress")+SUMIFS('Status of Curriculum Completion'!$Z$4:$Z$38,'Status of Curriculum Completion'!$P$4:$P$38,"Geo WE",'Status of Curriculum Completion'!$U$4:$U$38,"In Progress")+SUMIFS('Status of Curriculum Completion'!$AM$4:$AM$38,'Status of Curriculum Completion'!$AC$4:$AC$38,"Geo WE",'Status of Curriculum Completion'!$AH$4:$AH$38,"In Progress")</f>
        <v>0</v>
      </c>
      <c r="I113" s="59">
        <f>SUMIFS('Status of Curriculum Completion'!$M$4:$M$38,'Status of Curriculum Completion'!$C$4:$C$38,"Geo WE",'Status of Curriculum Completion'!$H$4:$H$38,"Planned")+SUMIFS('Status of Curriculum Completion'!$Z$4:$Z$38,'Status of Curriculum Completion'!$P$4:$P$38,"Geo WE",'Status of Curriculum Completion'!$U$4:$U$38,"Planned")+SUMIFS('Status of Curriculum Completion'!$AM$4:$AM$38,'Status of Curriculum Completion'!$AC$4:$AC$38,"Geo WE",'Status of Curriculum Completion'!$AH$4:$AH$38,"Planned")</f>
        <v>0</v>
      </c>
      <c r="J113" s="59">
        <f>SUMIFS('Status of Curriculum Completion'!$M$4:$M$38,'Status of Curriculum Completion'!$C$4:$C$38,"Geo WE",'Status of Curriculum Completion'!$I$4:$I$38,"Complete")+SUMIFS('Status of Curriculum Completion'!$Z$4:$Z$38,'Status of Curriculum Completion'!$P$4:$P$38,"Geo WE",'Status of Curriculum Completion'!$V$4:$V$38,"Complete")+SUMIFS('Status of Curriculum Completion'!$AM$4:$AM$38,'Status of Curriculum Completion'!$AC$4:$AC$38,"Geo WE",'Status of Curriculum Completion'!$AI$4:$AI$38,"Complete")</f>
        <v>6</v>
      </c>
      <c r="K113" s="59">
        <f>SUMIFS('Status of Curriculum Completion'!$M$4:$M$38,'Status of Curriculum Completion'!$C$4:$C$38,"Geo WE",'Status of Curriculum Completion'!$I$4:$I$38,"In Progress")+SUMIFS('Status of Curriculum Completion'!$Z$4:$Z$38,'Status of Curriculum Completion'!$P$4:$P$38,"Geo WE",'Status of Curriculum Completion'!$V$4:$V$38,"In Progress")+SUMIFS('Status of Curriculum Completion'!$AM$4:$AM$38,'Status of Curriculum Completion'!$AC$4:$AC$38,"Geo WE",'Status of Curriculum Completion'!$AI$4:$AI$38,"In Progress")</f>
        <v>0</v>
      </c>
      <c r="L113" s="59">
        <f>SUMIFS('Status of Curriculum Completion'!$M$4:$M$38,'Status of Curriculum Completion'!$C$4:$C$38,"Geo WE",'Status of Curriculum Completion'!$I$4:$I$38,"Planned")+SUMIFS('Status of Curriculum Completion'!$Z$4:$Z$38,'Status of Curriculum Completion'!$P$4:$P$38,"Geo WE",'Status of Curriculum Completion'!$V$4:$V$38,"Planned")+SUMIFS('Status of Curriculum Completion'!$AM$4:$AM$38,'Status of Curriculum Completion'!$AC$4:$AC$38,"Geo WE",'Status of Curriculum Completion'!$AI$4:$AI$38,"Planned")</f>
        <v>0</v>
      </c>
      <c r="M113" s="60">
        <f>SUMIFS('Status of Curriculum Completion'!$AZ$4:$AZ$38,'Status of Curriculum Completion'!$AP$4:$AP$38,"Geo WE",'Status of Curriculum Completion'!$AT$4:$AT$38,"Complete")+SUMIFS('Status of Curriculum Completion'!$BM$4:$BM$38,'Status of Curriculum Completion'!$BC$4:$BC$38,"Geo WE",'Status of Curriculum Completion'!$BG$4:$BG$38,"Complete")+SUMIFS('Status of Curriculum Completion'!$BZ$4:$BZ$38,'Status of Curriculum Completion'!$BP$4:$BP$38,"Geo WE",'Status of Curriculum Completion'!$BT$4:$BT$38,"Complete")</f>
        <v>0</v>
      </c>
      <c r="N113" s="60">
        <f>SUMIFS('Status of Curriculum Completion'!$AZ$4:$AZ$38,'Status of Curriculum Completion'!$AP$4:$AP$38,"Geo WE",'Status of Curriculum Completion'!$AT$4:$AT$38,"In Progress")+SUMIFS('Status of Curriculum Completion'!$BM$4:$BM$38,'Status of Curriculum Completion'!$BC$4:$BC$38,"Geo WE",'Status of Curriculum Completion'!$BG$4:$BG$38,"In Progress")+SUMIFS('Status of Curriculum Completion'!$BZ$4:$BZ$38,'Status of Curriculum Completion'!$BP$4:$BP$38,"Geo WE",'Status of Curriculum Completion'!$BT$4:$BT$38,"In Progress")</f>
        <v>0</v>
      </c>
      <c r="O113" s="60">
        <f>SUMIFS('Status of Curriculum Completion'!$AZ$4:$AZ$38,'Status of Curriculum Completion'!$AP$4:$AP$38,"Geo WE",'Status of Curriculum Completion'!$AT$4:$AT$38,"Planned")+SUMIFS('Status of Curriculum Completion'!$BM$4:$BM$38,'Status of Curriculum Completion'!$BC$4:$BC$38,"Geo WE",'Status of Curriculum Completion'!$BG$4:$BG$38,"Planned")+SUMIFS('Status of Curriculum Completion'!$BZ$4:$BZ$38,'Status of Curriculum Completion'!$BP$4:$BP$38,"Geo WE",'Status of Curriculum Completion'!$BT$4:$BT$38,"Planned")</f>
        <v>0</v>
      </c>
      <c r="P113" s="60">
        <f>SUMIFS('Status of Curriculum Completion'!$AZ$4:$AZ$38,'Status of Curriculum Completion'!$AP$4:$AP$38,"Geo WE",'Status of Curriculum Completion'!$AU$4:$AU$38,"Complete")+SUMIFS('Status of Curriculum Completion'!$BM$4:$BM$38,'Status of Curriculum Completion'!$BC$4:$BC$38,"Geo WE",'Status of Curriculum Completion'!$BH$4:$BH$38,"Complete")+SUMIFS('Status of Curriculum Completion'!$BZ$4:$BZ$38,'Status of Curriculum Completion'!$BP$4:$BP$38,"Geo WE",'Status of Curriculum Completion'!$BU$4:$BU$38,"Complete")</f>
        <v>0</v>
      </c>
      <c r="Q113" s="60">
        <f>SUMIFS('Status of Curriculum Completion'!$AZ$4:$AZ$38,'Status of Curriculum Completion'!$AP$4:$AP$38,"Geo WE",'Status of Curriculum Completion'!$AU$4:$AU$38,"In Progress")+SUMIFS('Status of Curriculum Completion'!$BM$4:$BM$38,'Status of Curriculum Completion'!$BC$4:$BC$38,"Geo WE",'Status of Curriculum Completion'!$BH$4:$BH$38,"In Progress")+SUMIFS('Status of Curriculum Completion'!$BZ$4:$BZ$38,'Status of Curriculum Completion'!$BP$4:$BP$38,"Geo WE",'Status of Curriculum Completion'!$BU$4:$BU$38,"In Progress")</f>
        <v>0</v>
      </c>
      <c r="R113" s="60">
        <f>SUMIFS('Status of Curriculum Completion'!$AZ$4:$AZ$38,'Status of Curriculum Completion'!$AP$4:$AP$38,"Geo WE",'Status of Curriculum Completion'!$AU$4:$AU$38,"Planned")+SUMIFS('Status of Curriculum Completion'!$BM$4:$BM$38,'Status of Curriculum Completion'!$BC$4:$BC$38,"Geo WE",'Status of Curriculum Completion'!$BH$4:$BH$38,"Planned")+SUMIFS('Status of Curriculum Completion'!$BZ$4:$BZ$38,'Status of Curriculum Completion'!$BP$4:$BP$38,"Geo WE",'Status of Curriculum Completion'!$BU$4:$BU$38,"Planned")</f>
        <v>0</v>
      </c>
      <c r="S113" s="60">
        <f>SUMIFS('Status of Curriculum Completion'!$AZ$4:$AZ$38,'Status of Curriculum Completion'!$AP$4:$AP$38,"Geo WE",'Status of Curriculum Completion'!$AV$4:$AV$38,"Complete")+SUMIFS('Status of Curriculum Completion'!$BM$4:$BM$38,'Status of Curriculum Completion'!$BC$4:$BC$38,"Geo WE",'Status of Curriculum Completion'!$BI$4:$BI$38,"Complete")+SUMIFS('Status of Curriculum Completion'!$BZ$4:$BZ$38,'Status of Curriculum Completion'!$BP$4:$BP$38,"Geo WE",'Status of Curriculum Completion'!$BV$4:$BV$38,"Complete")</f>
        <v>0</v>
      </c>
      <c r="T113" s="60">
        <f>SUMIFS('Status of Curriculum Completion'!$AZ$4:$AZ$38,'Status of Curriculum Completion'!$AP$4:$AP$38,"Geo WE",'Status of Curriculum Completion'!$AV$4:$AV$38,"In Progress")+SUMIFS('Status of Curriculum Completion'!$BM$4:$BM$38,'Status of Curriculum Completion'!$BC$4:$BC$38,"Geo WE",'Status of Curriculum Completion'!$BI$4:$BI$38,"In Progress")+SUMIFS('Status of Curriculum Completion'!$BZ$4:$BZ$38,'Status of Curriculum Completion'!$BP$4:$BP$38,"Geo WE",'Status of Curriculum Completion'!$BV$4:$BV$38,"In Progress")</f>
        <v>0</v>
      </c>
      <c r="U113" s="60">
        <f>SUMIFS('Status of Curriculum Completion'!$AZ$4:$AZ$38,'Status of Curriculum Completion'!$AP$4:$AP$38,"Geo WE",'Status of Curriculum Completion'!$AV$4:$AV$38,"Planned")+SUMIFS('Status of Curriculum Completion'!$BM$4:$BM$38,'Status of Curriculum Completion'!$BC$4:$BC$38,"Geo WE",'Status of Curriculum Completion'!$BI$4:$BI$38,"Planned")+SUMIFS('Status of Curriculum Completion'!$BZ$4:$BZ$38,'Status of Curriculum Completion'!$BP$4:$BP$38,"Geo WE",'Status of Curriculum Completion'!$BV$4:$BV$38,"Planned")</f>
        <v>0</v>
      </c>
      <c r="V113"/>
      <c r="W113"/>
      <c r="X113" s="63" t="s">
        <v>1640</v>
      </c>
      <c r="Y113" s="61">
        <f>SUMIFS('Status of Curriculum Completion'!$CM$4:$CM$38,'Status of Curriculum Completion'!$CC$4:$CC$38,"Geo WE",'Status of Curriculum Completion'!$CG$4:$CG$38,"Complete")+SUMIFS('Status of Curriculum Completion'!$CZ$4:$CZ$38,'Status of Curriculum Completion'!$CP$4:$CP$38,"Geo WE",'Status of Curriculum Completion'!$CT$4:$CT$38,"Complete")+SUMIFS('Status of Curriculum Completion'!$DM$4:$DM$38,'Status of Curriculum Completion'!$DC$4:$DC$38,"Geo WE",'Status of Curriculum Completion'!$DG$4:$DG$38,"Complete")</f>
        <v>93</v>
      </c>
      <c r="Z113" s="61">
        <f>SUMIFS('Status of Curriculum Completion'!$CM$4:$CM$38,'Status of Curriculum Completion'!$CC$4:$CC$38,"Geo WE",'Status of Curriculum Completion'!$CG$4:$CG$38,"In Progress")+SUMIFS('Status of Curriculum Completion'!$CZ$4:$CZ$38,'Status of Curriculum Completion'!$CP$4:$CP$38,"Geo WE",'Status of Curriculum Completion'!$CT$4:$CT$38,"In Progress")+SUMIFS('Status of Curriculum Completion'!$DM$4:$DM$38,'Status of Curriculum Completion'!$DC$4:$DC$38,"Geo WE",'Status of Curriculum Completion'!$DG$4:$DG$38,"In Progress")</f>
        <v>0</v>
      </c>
      <c r="AA113" s="61">
        <f>SUMIFS('Status of Curriculum Completion'!$CM$4:$CM$38,'Status of Curriculum Completion'!$CC$4:$CC$38,"Geo WE",'Status of Curriculum Completion'!$CG$4:$CG$38,"Planned")+SUMIFS('Status of Curriculum Completion'!$CZ$4:$CZ$38,'Status of Curriculum Completion'!$CP$4:$CP$38,"Geo WE",'Status of Curriculum Completion'!$CT$4:$CT$38,"Planned")+SUMIFS('Status of Curriculum Completion'!$DM$4:$DM$38,'Status of Curriculum Completion'!$DC$4:$DC$38,"Geo WE",'Status of Curriculum Completion'!$DG$4:$DG$38,"Planned")</f>
        <v>0</v>
      </c>
      <c r="AB113" s="61">
        <f>SUMIFS('Status of Curriculum Completion'!$CM$4:$CM$38,'Status of Curriculum Completion'!$CC$4:$CC$38,"Geo WE",'Status of Curriculum Completion'!$CG$4:$CG$38,"Tentative")+SUMIFS('Status of Curriculum Completion'!$CZ$4:$CZ$38,'Status of Curriculum Completion'!$CP$4:$CP$38,"Geo WE",'Status of Curriculum Completion'!$CT$4:$CT$38,"Tentative")+SUMIFS('Status of Curriculum Completion'!$DM$4:$DM$38,'Status of Curriculum Completion'!$DC$4:$DC$38,"Geo WE",'Status of Curriculum Completion'!$DG$4:$DG$38,"Tentative")</f>
        <v>0</v>
      </c>
      <c r="AC113" s="61">
        <f>SUMIFS('Status of Curriculum Completion'!$CM$4:$CM$38,'Status of Curriculum Completion'!$CC$4:$CC$38,"Geo WE",'Status of Curriculum Completion'!$CH$4:$CH$38,"Complete")+SUMIFS('Status of Curriculum Completion'!$CZ$4:$CZ$38,'Status of Curriculum Completion'!$CP$4:$CP$38,"Geo WE",'Status of Curriculum Completion'!$CU$4:$CU$38,"Complete")+SUMIFS('Status of Curriculum Completion'!$DM$4:$DM$38,'Status of Curriculum Completion'!$DC$4:$DC$38,"Geo WE",'Status of Curriculum Completion'!$DH$4:$DH$38,"Complete")</f>
        <v>93</v>
      </c>
      <c r="AD113" s="61">
        <f>SUMIFS('Status of Curriculum Completion'!$CM$4:$CM$38,'Status of Curriculum Completion'!$CC$4:$CC$38,"Geo WE",'Status of Curriculum Completion'!$CH$4:$CH$38,"In Progress")+SUMIFS('Status of Curriculum Completion'!$CZ$4:$CZ$38,'Status of Curriculum Completion'!$CP$4:$CP$38,"Geo WE",'Status of Curriculum Completion'!$CU$4:$CU$38,"In Progress")+SUMIFS('Status of Curriculum Completion'!$DM$4:$DM$38,'Status of Curriculum Completion'!$DC$4:$DC$38,"Geo WE",'Status of Curriculum Completion'!$DH$4:$DH$38,"In Progress")</f>
        <v>0</v>
      </c>
      <c r="AE113" s="61">
        <f>SUMIFS('Status of Curriculum Completion'!$CM$4:$CM$38,'Status of Curriculum Completion'!$CC$4:$CC$38,"Geo WE",'Status of Curriculum Completion'!$CH$4:$CH$38,"Planned")+SUMIFS('Status of Curriculum Completion'!$CZ$4:$CZ$38,'Status of Curriculum Completion'!$CP$4:$CP$38,"Geo WE",'Status of Curriculum Completion'!$CU$4:$CU$38,"Planned")+SUMIFS('Status of Curriculum Completion'!$DM$4:$DM$38,'Status of Curriculum Completion'!$DC$4:$DC$38,"Geo WE",'Status of Curriculum Completion'!$DH$4:$DH$38,"Planned")</f>
        <v>0</v>
      </c>
      <c r="AF113" s="61">
        <f>SUMIFS('Status of Curriculum Completion'!$CM$4:$CM$38,'Status of Curriculum Completion'!$CC$4:$CC$38,"Geo WE",'Status of Curriculum Completion'!$CH$4:$CH$38,"Tentative")+SUMIFS('Status of Curriculum Completion'!$CZ$4:$CZ$38,'Status of Curriculum Completion'!$CP$4:$CP$38,"Geo WE",'Status of Curriculum Completion'!$CU$4:$CU$38,"Tentative")+SUMIFS('Status of Curriculum Completion'!$DM$4:$DM$38,'Status of Curriculum Completion'!$DC$4:$DC$38,"Geo WE",'Status of Curriculum Completion'!$DH$4:$DH$38,"Tentative")</f>
        <v>0</v>
      </c>
      <c r="AG113" s="61">
        <f>SUMIFS('Status of Curriculum Completion'!$CM$4:$CM$38,'Status of Curriculum Completion'!$CC$4:$CC$38,"Geo WE",'Status of Curriculum Completion'!$CI$4:$CI$38,"Complete")+SUMIFS('Status of Curriculum Completion'!$CZ$4:$CZ$38,'Status of Curriculum Completion'!$CP$4:$CP$38,"Geo WE",'Status of Curriculum Completion'!$CV$4:$CV$38,"Complete")+SUMIFS('Status of Curriculum Completion'!$DM$4:$DM$38,'Status of Curriculum Completion'!$DC$4:$DC$38,"Geo WE",'Status of Curriculum Completion'!$DI$4:$DI$38,"Complete")</f>
        <v>61</v>
      </c>
      <c r="AH113" s="61">
        <f>SUMIFS('Status of Curriculum Completion'!$CM$4:$CM$38,'Status of Curriculum Completion'!$CC$4:$CC$38,"Geo WE",'Status of Curriculum Completion'!$CI$4:$CI$38,"In Progress")+SUMIFS('Status of Curriculum Completion'!$CZ$4:$CZ$38,'Status of Curriculum Completion'!$CP$4:$CP$38,"Geo WE",'Status of Curriculum Completion'!$CV$4:$CV$38,"In Progress")+SUMIFS('Status of Curriculum Completion'!$DM$4:$DM$38,'Status of Curriculum Completion'!$DC$4:$DC$38,"Geo WE",'Status of Curriculum Completion'!$DI$4:$DI$38,"In Progress")</f>
        <v>32</v>
      </c>
      <c r="AI113" s="61">
        <f>SUMIFS('Status of Curriculum Completion'!$CM$4:$CM$38,'Status of Curriculum Completion'!$CC$4:$CC$38,"Geo WE",'Status of Curriculum Completion'!$CI$4:$CI$38,"Planned")+SUMIFS('Status of Curriculum Completion'!$CZ$4:$CZ$38,'Status of Curriculum Completion'!$CP$4:$CP$38,"Geo WE",'Status of Curriculum Completion'!$CV$4:$CV$38,"Planned")+SUMIFS('Status of Curriculum Completion'!$DM$4:$DM$38,'Status of Curriculum Completion'!$DC$4:$DC$38,"Geo WE",'Status of Curriculum Completion'!$DI$4:$DI$38,"Planned")</f>
        <v>0</v>
      </c>
      <c r="AJ113" s="61">
        <f>SUMIFS('Status of Curriculum Completion'!$CM$4:$CM$38,'Status of Curriculum Completion'!$CC$4:$CC$38,"Geo WE",'Status of Curriculum Completion'!$CI$4:$CI$38,"Tentative")+SUMIFS('Status of Curriculum Completion'!$CZ$4:$CZ$38,'Status of Curriculum Completion'!$CP$4:$CP$38,"Geo WE",'Status of Curriculum Completion'!$CV$4:$CV$38,"Tentative")+SUMIFS('Status of Curriculum Completion'!$DM$4:$DM$38,'Status of Curriculum Completion'!$DC$4:$DC$38,"Geo WE",'Status of Curriculum Completion'!$DI$4:$DI$38,"Tentative")</f>
        <v>0</v>
      </c>
      <c r="AK113" s="62">
        <f>SUMIFS('Status of Curriculum Completion'!$DZ$4:$DZ$38,'Status of Curriculum Completion'!$DP$4:$DP$38,"Geo WE",'Status of Curriculum Completion'!$DT$4:$DT$38,"Complete")+SUMIFS('Status of Curriculum Completion'!$EM$4:$EM$38,'Status of Curriculum Completion'!$EC$4:$EC$38,"Geo WE",'Status of Curriculum Completion'!$EG$4:$EG$38,"Complete")+SUMIFS('Status of Curriculum Completion'!$EZ$4:$EZ$38,'Status of Curriculum Completion'!$EP$4:$EP$38,"Geo WE",'Status of Curriculum Completion'!$ET$4:$ET$38,"Complete")</f>
        <v>81</v>
      </c>
      <c r="AL113" s="62">
        <f>SUMIFS('Status of Curriculum Completion'!$DZ$4:$DZ$38,'Status of Curriculum Completion'!$DP$4:$DP$38,"Geo WE",'Status of Curriculum Completion'!$DT$4:$DT$38,"In Progress")+SUMIFS('Status of Curriculum Completion'!$EM$4:$EM$38,'Status of Curriculum Completion'!$EC$4:$EC$38,"Geo WE",'Status of Curriculum Completion'!$EG$4:$EG$38,"In Progress")+SUMIFS('Status of Curriculum Completion'!$EZ$4:$EZ$38,'Status of Curriculum Completion'!$EP$4:$EP$38,"Geo WE",'Status of Curriculum Completion'!$ET$4:$ET$38,"In Progress")</f>
        <v>0</v>
      </c>
      <c r="AM113" s="62">
        <f>SUMIFS('Status of Curriculum Completion'!$DZ$4:$DZ$38,'Status of Curriculum Completion'!$DP$4:$DP$38,"Geo WE",'Status of Curriculum Completion'!$DT$4:$DT$38,"Planned")+SUMIFS('Status of Curriculum Completion'!$EM$4:$EM$38,'Status of Curriculum Completion'!$EC$4:$EC$38,"Geo WE",'Status of Curriculum Completion'!$EG$4:$EG$38,"Planned")+SUMIFS('Status of Curriculum Completion'!$EZ$4:$EZ$38,'Status of Curriculum Completion'!$EP$4:$EP$38,"Geo WE",'Status of Curriculum Completion'!$ET$4:$ET$38,"Planned")</f>
        <v>0</v>
      </c>
      <c r="AN113" s="62">
        <f>SUMIFS('Status of Curriculum Completion'!$DZ$4:$DZ$38,'Status of Curriculum Completion'!$DP$4:$DP$38,"Geo WE",'Status of Curriculum Completion'!$DT$4:$DT$38,"Tentative")+SUMIFS('Status of Curriculum Completion'!$EM$4:$EM$38,'Status of Curriculum Completion'!$EC$4:$EC$38,"Geo WE",'Status of Curriculum Completion'!$EG$4:$EG$38,"Tentative")+SUMIFS('Status of Curriculum Completion'!$EZ$4:$EZ$38,'Status of Curriculum Completion'!$EP$4:$EP$38,"Geo WE",'Status of Curriculum Completion'!$ET$4:$ET$38,"Tentative")</f>
        <v>0</v>
      </c>
      <c r="AO113" s="62">
        <f>SUMIFS('Status of Curriculum Completion'!$DZ$4:$DZ$38,'Status of Curriculum Completion'!$DP$4:$DP$38,"Geo WE",'Status of Curriculum Completion'!$DU$4:$DU$38,"Complete")+SUMIFS('Status of Curriculum Completion'!$EM$4:$EM$38,'Status of Curriculum Completion'!$EC$4:$EC$38,"Geo WE",'Status of Curriculum Completion'!$EH$4:$EH$38,"Complete")+SUMIFS('Status of Curriculum Completion'!$EZ$4:$EZ$38,'Status of Curriculum Completion'!$EP$4:$EP$38,"Geo WE",'Status of Curriculum Completion'!$EU$4:$EU$38,"Complete")</f>
        <v>81</v>
      </c>
      <c r="AP113" s="62">
        <f>SUMIFS('Status of Curriculum Completion'!$DZ$4:$DZ$38,'Status of Curriculum Completion'!$DP$4:$DP$38,"Geo WE",'Status of Curriculum Completion'!$DU$4:$DU$38,"In Progress")+SUMIFS('Status of Curriculum Completion'!$EM$4:$EM$38,'Status of Curriculum Completion'!$EC$4:$EC$38,"Geo WE",'Status of Curriculum Completion'!$EH$4:$EH$38,"In Progress")+SUMIFS('Status of Curriculum Completion'!$EZ$4:$EZ$38,'Status of Curriculum Completion'!$EP$4:$EP$38,"Geo WE",'Status of Curriculum Completion'!$EU$4:$EU$38,"In Progress")</f>
        <v>0</v>
      </c>
      <c r="AQ113" s="62">
        <f>SUMIFS('Status of Curriculum Completion'!$DZ$4:$DZ$38,'Status of Curriculum Completion'!$DP$4:$DP$38,"Geo WE",'Status of Curriculum Completion'!$DU$4:$DU$38,"Planned")+SUMIFS('Status of Curriculum Completion'!$EM$4:$EM$38,'Status of Curriculum Completion'!$EC$4:$EC$38,"Geo WE",'Status of Curriculum Completion'!$EH$4:$EH$38,"Planned")+SUMIFS('Status of Curriculum Completion'!$EZ$4:$EZ$38,'Status of Curriculum Completion'!$EP$4:$EP$38,"Geo WE",'Status of Curriculum Completion'!$EU$4:$EU$38,"Planned")</f>
        <v>0</v>
      </c>
      <c r="AR113" s="62">
        <f>SUMIFS('Status of Curriculum Completion'!$DZ$4:$DZ$38,'Status of Curriculum Completion'!$DP$4:$DP$38,"Geo WE",'Status of Curriculum Completion'!$DU$4:$DU$38,"Tentative")+SUMIFS('Status of Curriculum Completion'!$EM$4:$EM$38,'Status of Curriculum Completion'!$EC$4:$EC$38,"Geo WE",'Status of Curriculum Completion'!$EH$4:$EH$38,"Tentative")+SUMIFS('Status of Curriculum Completion'!$EZ$4:$EZ$38,'Status of Curriculum Completion'!$EP$4:$EP$38,"Geo WE",'Status of Curriculum Completion'!$EU$4:$EU$38,"Tentative")</f>
        <v>0</v>
      </c>
      <c r="AS113" s="62">
        <f>SUMIFS('Status of Curriculum Completion'!$DZ$4:$DZ$38,'Status of Curriculum Completion'!$DP$4:$DP$38,"Geo WE",'Status of Curriculum Completion'!$DV$4:$DV$38,"Complete")+SUMIFS('Status of Curriculum Completion'!$EM$4:$EM$38,'Status of Curriculum Completion'!$EC$4:$EC$38,"Geo WE",'Status of Curriculum Completion'!$EI$4:$EI$38,"Complete")+SUMIFS('Status of Curriculum Completion'!$EZ$4:$EZ$38,'Status of Curriculum Completion'!$EP$4:$EP$38,"Geo WE",'Status of Curriculum Completion'!$EV$4:$EV$38,"Complete")</f>
        <v>0</v>
      </c>
      <c r="AT113" s="62">
        <f>SUMIFS('Status of Curriculum Completion'!$DZ$4:$DZ$38,'Status of Curriculum Completion'!$DP$4:$DP$38,"Geo WE",'Status of Curriculum Completion'!$DV$4:$DV$38,"In Progress")+SUMIFS('Status of Curriculum Completion'!$EM$4:$EM$38,'Status of Curriculum Completion'!$EC$4:$EC$38,"Geo WE",'Status of Curriculum Completion'!$EI$4:$EI$38,"In Progress")+SUMIFS('Status of Curriculum Completion'!$EZ$4:$EZ$38,'Status of Curriculum Completion'!$EP$4:$EP$38,"Geo WE",'Status of Curriculum Completion'!$EV$4:$EV$38,"In Progress")</f>
        <v>0</v>
      </c>
      <c r="AU113" s="62">
        <f>SUMIFS('Status of Curriculum Completion'!$DZ$4:$DZ$38,'Status of Curriculum Completion'!$DP$4:$DP$38,"Geo WE",'Status of Curriculum Completion'!$DV$4:$DV$38,"Planned")+SUMIFS('Status of Curriculum Completion'!$EM$4:$EM$38,'Status of Curriculum Completion'!$EC$4:$EC$38,"Geo WE",'Status of Curriculum Completion'!$EI$4:$EI$38,"Planned")+SUMIFS('Status of Curriculum Completion'!$EZ$4:$EZ$38,'Status of Curriculum Completion'!$EP$4:$EP$38,"Geo WE",'Status of Curriculum Completion'!$EV$4:$EV$38,"Planned")</f>
        <v>81</v>
      </c>
      <c r="AV113" s="62">
        <f>SUMIFS('Status of Curriculum Completion'!$DZ$4:$DZ$38,'Status of Curriculum Completion'!$DP$4:$DP$38,"Geo WE",'Status of Curriculum Completion'!$DV$4:$DV$38,"Tentative")+SUMIFS('Status of Curriculum Completion'!$EM$4:$EM$38,'Status of Curriculum Completion'!$EC$4:$EC$38,"Geo WE",'Status of Curriculum Completion'!$EI$4:$EI$38,"Tentative")+SUMIFS('Status of Curriculum Completion'!$EZ$4:$EZ$38,'Status of Curriculum Completion'!$EP$4:$EP$38,"Geo WE",'Status of Curriculum Completion'!$EV$4:$EV$38,"Tentative")</f>
        <v>0</v>
      </c>
    </row>
    <row r="114" spans="3:48" ht="44" hidden="1" thickBot="1">
      <c r="C114" s="78" t="s">
        <v>1641</v>
      </c>
      <c r="D114" s="59"/>
      <c r="E114" s="59"/>
      <c r="F114" s="59"/>
      <c r="G114" s="59"/>
      <c r="H114" s="59"/>
      <c r="I114" s="59"/>
      <c r="J114" s="59"/>
      <c r="K114" s="59"/>
      <c r="L114" s="59"/>
      <c r="M114" s="60"/>
      <c r="N114" s="60"/>
      <c r="O114" s="60"/>
      <c r="P114" s="60"/>
      <c r="Q114" s="60"/>
      <c r="R114" s="60"/>
      <c r="S114" s="60"/>
      <c r="T114" s="60"/>
      <c r="U114" s="60"/>
      <c r="V114"/>
      <c r="W114"/>
      <c r="X114" s="78" t="s">
        <v>1641</v>
      </c>
      <c r="Y114" s="61"/>
      <c r="Z114" s="61"/>
      <c r="AA114" s="61"/>
      <c r="AB114" s="61"/>
      <c r="AC114" s="61"/>
      <c r="AD114" s="61"/>
      <c r="AE114" s="61"/>
      <c r="AF114" s="61"/>
      <c r="AG114" s="61"/>
      <c r="AH114" s="61"/>
      <c r="AI114" s="61"/>
      <c r="AJ114" s="61"/>
      <c r="AK114" s="62"/>
      <c r="AL114" s="62"/>
      <c r="AM114" s="62"/>
      <c r="AN114" s="62"/>
      <c r="AO114" s="62"/>
      <c r="AP114" s="62"/>
      <c r="AQ114" s="62"/>
      <c r="AR114" s="62"/>
      <c r="AS114" s="62"/>
      <c r="AT114" s="62"/>
      <c r="AU114" s="62"/>
      <c r="AV114" s="62"/>
    </row>
    <row r="115" spans="3:48" hidden="1">
      <c r="D115" s="26" t="e">
        <f t="shared" ref="D115:U115" si="10">SUM(D99:D113)</f>
        <v>#REF!</v>
      </c>
      <c r="E115" s="26">
        <f t="shared" si="10"/>
        <v>47</v>
      </c>
      <c r="F115" s="26">
        <f t="shared" si="10"/>
        <v>0</v>
      </c>
      <c r="G115" s="26" t="e">
        <f t="shared" si="10"/>
        <v>#REF!</v>
      </c>
      <c r="H115" s="26">
        <f t="shared" si="10"/>
        <v>47</v>
      </c>
      <c r="I115" s="26">
        <f t="shared" si="10"/>
        <v>0</v>
      </c>
      <c r="J115" s="26" t="e">
        <f t="shared" si="10"/>
        <v>#REF!</v>
      </c>
      <c r="K115" s="26">
        <f t="shared" si="10"/>
        <v>0</v>
      </c>
      <c r="L115" s="26">
        <f t="shared" si="10"/>
        <v>0</v>
      </c>
      <c r="M115" s="26">
        <f t="shared" si="10"/>
        <v>805</v>
      </c>
      <c r="N115" s="26">
        <f t="shared" si="10"/>
        <v>24</v>
      </c>
      <c r="O115" s="26">
        <f t="shared" si="10"/>
        <v>0</v>
      </c>
      <c r="P115" s="26">
        <f t="shared" si="10"/>
        <v>805</v>
      </c>
      <c r="Q115" s="26">
        <f t="shared" si="10"/>
        <v>0</v>
      </c>
      <c r="R115" s="26">
        <f t="shared" si="10"/>
        <v>0</v>
      </c>
      <c r="S115" s="26">
        <f t="shared" si="10"/>
        <v>805</v>
      </c>
      <c r="T115" s="26">
        <f t="shared" si="10"/>
        <v>0</v>
      </c>
      <c r="U115" s="26">
        <f t="shared" si="10"/>
        <v>0</v>
      </c>
      <c r="Y115" s="26">
        <f t="shared" ref="Y115:AV115" si="11">SUM(Y99:Y113)</f>
        <v>696</v>
      </c>
      <c r="Z115" s="26">
        <f t="shared" si="11"/>
        <v>37</v>
      </c>
      <c r="AA115" s="26">
        <f t="shared" si="11"/>
        <v>0</v>
      </c>
      <c r="AB115" s="26">
        <f t="shared" si="11"/>
        <v>0</v>
      </c>
      <c r="AC115" s="26">
        <f t="shared" si="11"/>
        <v>673</v>
      </c>
      <c r="AD115" s="26">
        <f t="shared" si="11"/>
        <v>23</v>
      </c>
      <c r="AE115" s="26">
        <f t="shared" si="11"/>
        <v>0</v>
      </c>
      <c r="AF115" s="26">
        <f t="shared" si="11"/>
        <v>0</v>
      </c>
      <c r="AG115" s="26">
        <f t="shared" si="11"/>
        <v>253</v>
      </c>
      <c r="AH115" s="26">
        <f t="shared" si="11"/>
        <v>422</v>
      </c>
      <c r="AI115" s="26">
        <f t="shared" si="11"/>
        <v>0</v>
      </c>
      <c r="AJ115" s="26">
        <f t="shared" si="11"/>
        <v>21</v>
      </c>
      <c r="AK115" s="26">
        <f t="shared" si="11"/>
        <v>836</v>
      </c>
      <c r="AL115" s="26">
        <f t="shared" si="11"/>
        <v>74</v>
      </c>
      <c r="AM115" s="26">
        <f t="shared" si="11"/>
        <v>0</v>
      </c>
      <c r="AN115" s="26">
        <f t="shared" si="11"/>
        <v>0</v>
      </c>
      <c r="AO115" s="26">
        <f t="shared" si="11"/>
        <v>598</v>
      </c>
      <c r="AP115" s="26">
        <f t="shared" si="11"/>
        <v>238</v>
      </c>
      <c r="AQ115" s="26">
        <f t="shared" si="11"/>
        <v>0</v>
      </c>
      <c r="AR115" s="26">
        <f t="shared" si="11"/>
        <v>0</v>
      </c>
      <c r="AS115" s="26">
        <f t="shared" si="11"/>
        <v>0</v>
      </c>
      <c r="AT115" s="26">
        <f t="shared" si="11"/>
        <v>0</v>
      </c>
      <c r="AU115" s="26">
        <f t="shared" si="11"/>
        <v>463</v>
      </c>
      <c r="AV115" s="26">
        <f t="shared" si="11"/>
        <v>373</v>
      </c>
    </row>
    <row r="116" spans="3:48" hidden="1">
      <c r="D116" s="26" t="e">
        <f>SUM(D115:F115)</f>
        <v>#REF!</v>
      </c>
      <c r="G116" s="26" t="e">
        <f>SUM(G115:I115)</f>
        <v>#REF!</v>
      </c>
      <c r="J116" s="26" t="e">
        <f>SUM(J115:L115)</f>
        <v>#REF!</v>
      </c>
      <c r="M116" s="26">
        <f>SUM(M115:O115)</f>
        <v>829</v>
      </c>
      <c r="P116" s="26">
        <f>SUM(P115:R115)</f>
        <v>805</v>
      </c>
      <c r="S116" s="26">
        <f>SUM(S115:U115)</f>
        <v>805</v>
      </c>
      <c r="V116"/>
      <c r="W116"/>
      <c r="Y116" s="26">
        <f>SUM(Y115:AB115)</f>
        <v>733</v>
      </c>
      <c r="AC116" s="26">
        <f>SUM(AC115:AF115)</f>
        <v>696</v>
      </c>
      <c r="AG116" s="26">
        <f>SUM(AG115:AJ115)</f>
        <v>696</v>
      </c>
      <c r="AK116" s="26">
        <f>SUM(AK115:AN115)</f>
        <v>910</v>
      </c>
      <c r="AO116" s="26">
        <f>SUM(AO115:AR115)</f>
        <v>836</v>
      </c>
      <c r="AS116" s="26">
        <f>SUM(AS115:AV115)</f>
        <v>836</v>
      </c>
    </row>
    <row r="117" spans="3:48" hidden="1">
      <c r="V117"/>
      <c r="W117"/>
    </row>
    <row r="118" spans="3:48" hidden="1"/>
  </sheetData>
  <mergeCells count="123">
    <mergeCell ref="DQ15:EA15"/>
    <mergeCell ref="DQ4:EA4"/>
    <mergeCell ref="DQ6:EA6"/>
    <mergeCell ref="DQ8:EA8"/>
    <mergeCell ref="DQ10:EA10"/>
    <mergeCell ref="DQ12:EA12"/>
    <mergeCell ref="EQ4:FA4"/>
    <mergeCell ref="EQ6:FA6"/>
    <mergeCell ref="EQ8:FA8"/>
    <mergeCell ref="ED4:EN4"/>
    <mergeCell ref="ED6:EN6"/>
    <mergeCell ref="ED8:EN8"/>
    <mergeCell ref="ED10:EN10"/>
    <mergeCell ref="ED12:EN12"/>
    <mergeCell ref="ED14:EN14"/>
    <mergeCell ref="DD26:DN26"/>
    <mergeCell ref="DD28:DN28"/>
    <mergeCell ref="CQ25:DA25"/>
    <mergeCell ref="CQ28:DA28"/>
    <mergeCell ref="CQ30:DA30"/>
    <mergeCell ref="CQ34:DA34"/>
    <mergeCell ref="CQ14:DA14"/>
    <mergeCell ref="CQ16:DA16"/>
    <mergeCell ref="CQ18:DA18"/>
    <mergeCell ref="CQ20:DA20"/>
    <mergeCell ref="CQ23:DA23"/>
    <mergeCell ref="DD4:DN4"/>
    <mergeCell ref="DD6:DN6"/>
    <mergeCell ref="DD8:DN8"/>
    <mergeCell ref="DD12:DN12"/>
    <mergeCell ref="DD14:DN14"/>
    <mergeCell ref="DD16:DN16"/>
    <mergeCell ref="DD19:DN19"/>
    <mergeCell ref="DD22:DN22"/>
    <mergeCell ref="DD24:DN24"/>
    <mergeCell ref="BQ6:CA6"/>
    <mergeCell ref="CD4:CN4"/>
    <mergeCell ref="CD6:CN6"/>
    <mergeCell ref="CD9:CN9"/>
    <mergeCell ref="CD11:CN11"/>
    <mergeCell ref="AQ4:BA4"/>
    <mergeCell ref="AQ6:BA6"/>
    <mergeCell ref="AQ8:BA8"/>
    <mergeCell ref="CQ36:DA36"/>
    <mergeCell ref="CQ4:DA4"/>
    <mergeCell ref="CQ6:DA6"/>
    <mergeCell ref="CQ8:DA8"/>
    <mergeCell ref="CD19:CN19"/>
    <mergeCell ref="Q22:AA22"/>
    <mergeCell ref="Q25:AA25"/>
    <mergeCell ref="Q4:AA4"/>
    <mergeCell ref="Q6:AA6"/>
    <mergeCell ref="Q9:AA9"/>
    <mergeCell ref="Q11:AA11"/>
    <mergeCell ref="Q13:AA13"/>
    <mergeCell ref="AQ14:BA14"/>
    <mergeCell ref="BD4:BN4"/>
    <mergeCell ref="BD6:BN6"/>
    <mergeCell ref="BD9:BN9"/>
    <mergeCell ref="BD11:BN11"/>
    <mergeCell ref="BD13:BN13"/>
    <mergeCell ref="AD4:AN4"/>
    <mergeCell ref="AD6:AN6"/>
    <mergeCell ref="AD8:AN8"/>
    <mergeCell ref="AD10:AN10"/>
    <mergeCell ref="X95:AV95"/>
    <mergeCell ref="X96:X98"/>
    <mergeCell ref="Y96:AJ96"/>
    <mergeCell ref="AK96:AV96"/>
    <mergeCell ref="D1:N2"/>
    <mergeCell ref="Q1:AA2"/>
    <mergeCell ref="AD1:AN2"/>
    <mergeCell ref="AQ1:BA2"/>
    <mergeCell ref="BD1:BN2"/>
    <mergeCell ref="D4:N4"/>
    <mergeCell ref="D6:N6"/>
    <mergeCell ref="D8:N8"/>
    <mergeCell ref="D11:N11"/>
    <mergeCell ref="D15:N15"/>
    <mergeCell ref="AS97:AV97"/>
    <mergeCell ref="Y97:AB97"/>
    <mergeCell ref="AC97:AF97"/>
    <mergeCell ref="AG97:AJ97"/>
    <mergeCell ref="AK97:AN97"/>
    <mergeCell ref="AO97:AR97"/>
    <mergeCell ref="Q27:AA27"/>
    <mergeCell ref="Q15:AA15"/>
    <mergeCell ref="Q17:AA17"/>
    <mergeCell ref="Q20:AA20"/>
    <mergeCell ref="C95:U95"/>
    <mergeCell ref="C96:C98"/>
    <mergeCell ref="D96:L96"/>
    <mergeCell ref="M96:U96"/>
    <mergeCell ref="D97:F97"/>
    <mergeCell ref="G97:I97"/>
    <mergeCell ref="J97:L97"/>
    <mergeCell ref="M97:O97"/>
    <mergeCell ref="P97:R97"/>
    <mergeCell ref="S97:U97"/>
    <mergeCell ref="DQ17:EA17"/>
    <mergeCell ref="DQ20:EA20"/>
    <mergeCell ref="DQ22:EA22"/>
    <mergeCell ref="DQ24:EA24"/>
    <mergeCell ref="DQ26:EA26"/>
    <mergeCell ref="DQ28:EA28"/>
    <mergeCell ref="DQ30:EA30"/>
    <mergeCell ref="AQ17:BA17"/>
    <mergeCell ref="FX1:GA1"/>
    <mergeCell ref="FC1:FV1"/>
    <mergeCell ref="FC2:FG2"/>
    <mergeCell ref="FH2:FL2"/>
    <mergeCell ref="FM2:FQ2"/>
    <mergeCell ref="FR2:FV2"/>
    <mergeCell ref="DQ1:EA2"/>
    <mergeCell ref="ED1:EN2"/>
    <mergeCell ref="EQ1:FA2"/>
    <mergeCell ref="CQ1:DA2"/>
    <mergeCell ref="DD1:DN2"/>
    <mergeCell ref="BQ1:CA2"/>
    <mergeCell ref="CD1:CN2"/>
    <mergeCell ref="CQ10:DA10"/>
    <mergeCell ref="CQ12:DA12"/>
    <mergeCell ref="BQ4:CA4"/>
  </mergeCells>
  <phoneticPr fontId="1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4DB8-2ADA-454B-BE76-142039CA545A}">
  <sheetPr codeName="Sheet6"/>
  <dimension ref="A1:AS19"/>
  <sheetViews>
    <sheetView topLeftCell="O1" zoomScale="70" zoomScaleNormal="70" workbookViewId="0">
      <selection sqref="A1:AS19"/>
    </sheetView>
  </sheetViews>
  <sheetFormatPr defaultColWidth="8.453125" defaultRowHeight="14.5"/>
  <sheetData>
    <row r="1" spans="1:45" ht="15" thickBot="1">
      <c r="A1" s="556" t="s">
        <v>1625</v>
      </c>
      <c r="B1" s="556"/>
      <c r="C1" s="556"/>
      <c r="D1" s="556"/>
      <c r="E1" s="556"/>
      <c r="F1" s="556"/>
      <c r="G1" s="556"/>
      <c r="H1" s="556"/>
      <c r="I1" s="556"/>
      <c r="J1" s="556"/>
      <c r="K1" s="556"/>
      <c r="L1" s="556"/>
      <c r="M1" s="556"/>
      <c r="N1" s="556"/>
      <c r="O1" s="556"/>
      <c r="P1" s="556"/>
      <c r="Q1" s="556"/>
      <c r="R1" s="556"/>
      <c r="S1" s="556"/>
      <c r="U1" s="571" t="s">
        <v>1625</v>
      </c>
      <c r="V1" s="572"/>
      <c r="W1" s="572"/>
      <c r="X1" s="572"/>
      <c r="Y1" s="572"/>
      <c r="Z1" s="572"/>
      <c r="AA1" s="572"/>
      <c r="AB1" s="572"/>
      <c r="AC1" s="572"/>
      <c r="AD1" s="572"/>
      <c r="AE1" s="572"/>
      <c r="AF1" s="572"/>
      <c r="AG1" s="572"/>
      <c r="AH1" s="572"/>
      <c r="AI1" s="572"/>
      <c r="AJ1" s="572"/>
      <c r="AK1" s="572"/>
      <c r="AL1" s="572"/>
      <c r="AM1" s="572"/>
      <c r="AN1" s="572"/>
      <c r="AO1" s="572"/>
      <c r="AP1" s="572"/>
      <c r="AQ1" s="572"/>
      <c r="AR1" s="572"/>
      <c r="AS1" s="573"/>
    </row>
    <row r="2" spans="1:45" ht="15" thickBot="1">
      <c r="A2" s="557" t="s">
        <v>1626</v>
      </c>
      <c r="B2" s="560" t="s">
        <v>49</v>
      </c>
      <c r="C2" s="561"/>
      <c r="D2" s="561"/>
      <c r="E2" s="561"/>
      <c r="F2" s="561"/>
      <c r="G2" s="561"/>
      <c r="H2" s="561"/>
      <c r="I2" s="561"/>
      <c r="J2" s="562"/>
      <c r="K2" s="563" t="s">
        <v>82</v>
      </c>
      <c r="L2" s="564"/>
      <c r="M2" s="564"/>
      <c r="N2" s="564"/>
      <c r="O2" s="564"/>
      <c r="P2" s="564"/>
      <c r="Q2" s="564"/>
      <c r="R2" s="564"/>
      <c r="S2" s="565"/>
      <c r="U2" s="574" t="s">
        <v>1626</v>
      </c>
      <c r="V2" s="575" t="s">
        <v>93</v>
      </c>
      <c r="W2" s="576"/>
      <c r="X2" s="576"/>
      <c r="Y2" s="576"/>
      <c r="Z2" s="576"/>
      <c r="AA2" s="576"/>
      <c r="AB2" s="576"/>
      <c r="AC2" s="576"/>
      <c r="AD2" s="576"/>
      <c r="AE2" s="576"/>
      <c r="AF2" s="576"/>
      <c r="AG2" s="577"/>
      <c r="AH2" s="578" t="s">
        <v>106</v>
      </c>
      <c r="AI2" s="578"/>
      <c r="AJ2" s="578"/>
      <c r="AK2" s="578"/>
      <c r="AL2" s="578"/>
      <c r="AM2" s="578"/>
      <c r="AN2" s="578"/>
      <c r="AO2" s="578"/>
      <c r="AP2" s="578"/>
      <c r="AQ2" s="578"/>
      <c r="AR2" s="578"/>
      <c r="AS2" s="578"/>
    </row>
    <row r="3" spans="1:45" ht="15" thickBot="1">
      <c r="A3" s="558"/>
      <c r="B3" s="560" t="s">
        <v>1434</v>
      </c>
      <c r="C3" s="561"/>
      <c r="D3" s="566"/>
      <c r="E3" s="560" t="s">
        <v>376</v>
      </c>
      <c r="F3" s="561"/>
      <c r="G3" s="566"/>
      <c r="H3" s="560" t="s">
        <v>1436</v>
      </c>
      <c r="I3" s="561"/>
      <c r="J3" s="566"/>
      <c r="K3" s="567" t="s">
        <v>1434</v>
      </c>
      <c r="L3" s="568"/>
      <c r="M3" s="569"/>
      <c r="N3" s="567" t="s">
        <v>376</v>
      </c>
      <c r="O3" s="568"/>
      <c r="P3" s="569"/>
      <c r="Q3" s="567" t="s">
        <v>1436</v>
      </c>
      <c r="R3" s="568"/>
      <c r="S3" s="570"/>
      <c r="U3" s="574"/>
      <c r="V3" s="585" t="s">
        <v>1434</v>
      </c>
      <c r="W3" s="585"/>
      <c r="X3" s="585"/>
      <c r="Y3" s="585"/>
      <c r="Z3" s="585" t="s">
        <v>376</v>
      </c>
      <c r="AA3" s="585"/>
      <c r="AB3" s="585"/>
      <c r="AC3" s="585"/>
      <c r="AD3" s="585" t="s">
        <v>1436</v>
      </c>
      <c r="AE3" s="585"/>
      <c r="AF3" s="585"/>
      <c r="AG3" s="585"/>
      <c r="AH3" s="578" t="s">
        <v>1434</v>
      </c>
      <c r="AI3" s="578"/>
      <c r="AJ3" s="578"/>
      <c r="AK3" s="578"/>
      <c r="AL3" s="578" t="s">
        <v>376</v>
      </c>
      <c r="AM3" s="578"/>
      <c r="AN3" s="578"/>
      <c r="AO3" s="578"/>
      <c r="AP3" s="578" t="s">
        <v>1436</v>
      </c>
      <c r="AQ3" s="578"/>
      <c r="AR3" s="578"/>
      <c r="AS3" s="578"/>
    </row>
    <row r="4" spans="1:45" ht="29.5" thickBot="1">
      <c r="A4" s="559"/>
      <c r="B4" s="59" t="s">
        <v>52</v>
      </c>
      <c r="C4" s="59" t="s">
        <v>53</v>
      </c>
      <c r="D4" s="59" t="s">
        <v>54</v>
      </c>
      <c r="E4" s="59" t="s">
        <v>52</v>
      </c>
      <c r="F4" s="59" t="s">
        <v>53</v>
      </c>
      <c r="G4" s="59" t="s">
        <v>54</v>
      </c>
      <c r="H4" s="59" t="s">
        <v>52</v>
      </c>
      <c r="I4" s="59" t="s">
        <v>53</v>
      </c>
      <c r="J4" s="59" t="s">
        <v>54</v>
      </c>
      <c r="K4" s="60" t="s">
        <v>52</v>
      </c>
      <c r="L4" s="60" t="s">
        <v>53</v>
      </c>
      <c r="M4" s="60" t="s">
        <v>54</v>
      </c>
      <c r="N4" s="60" t="s">
        <v>52</v>
      </c>
      <c r="O4" s="60" t="s">
        <v>53</v>
      </c>
      <c r="P4" s="60" t="s">
        <v>54</v>
      </c>
      <c r="Q4" s="60" t="s">
        <v>52</v>
      </c>
      <c r="R4" s="60" t="s">
        <v>53</v>
      </c>
      <c r="S4" s="60" t="s">
        <v>54</v>
      </c>
      <c r="U4" s="574"/>
      <c r="V4" s="61" t="s">
        <v>52</v>
      </c>
      <c r="W4" s="61" t="s">
        <v>53</v>
      </c>
      <c r="X4" s="61" t="s">
        <v>54</v>
      </c>
      <c r="Y4" s="61" t="s">
        <v>766</v>
      </c>
      <c r="Z4" s="61" t="s">
        <v>52</v>
      </c>
      <c r="AA4" s="61" t="s">
        <v>53</v>
      </c>
      <c r="AB4" s="61" t="s">
        <v>54</v>
      </c>
      <c r="AC4" s="61" t="s">
        <v>766</v>
      </c>
      <c r="AD4" s="61" t="s">
        <v>52</v>
      </c>
      <c r="AE4" s="61" t="s">
        <v>53</v>
      </c>
      <c r="AF4" s="61" t="s">
        <v>54</v>
      </c>
      <c r="AG4" s="61" t="s">
        <v>766</v>
      </c>
      <c r="AH4" s="62" t="s">
        <v>52</v>
      </c>
      <c r="AI4" s="62" t="s">
        <v>53</v>
      </c>
      <c r="AJ4" s="62" t="s">
        <v>54</v>
      </c>
      <c r="AK4" s="62" t="s">
        <v>766</v>
      </c>
      <c r="AL4" s="62" t="s">
        <v>52</v>
      </c>
      <c r="AM4" s="62" t="s">
        <v>53</v>
      </c>
      <c r="AN4" s="62" t="s">
        <v>54</v>
      </c>
      <c r="AO4" s="62" t="s">
        <v>766</v>
      </c>
      <c r="AP4" s="62" t="s">
        <v>52</v>
      </c>
      <c r="AQ4" s="62" t="s">
        <v>53</v>
      </c>
      <c r="AR4" s="62" t="s">
        <v>54</v>
      </c>
      <c r="AS4" s="62" t="s">
        <v>766</v>
      </c>
    </row>
    <row r="5" spans="1:45" ht="15" thickBot="1">
      <c r="A5" s="63" t="s">
        <v>366</v>
      </c>
      <c r="B5" s="59" t="e">
        <f>SUMIFS('Status of Curriculum Completion'!$M$4:$M$38,'Status of Curriculum Completion'!$C$4:$C$38,"CEE",'Status of Curriculum Completion'!$G$4:$G$38,"Complete")+SUMIFS('Status of Curriculum Completion'!$Z$4:$Z$38,'Status of Curriculum Completion'!$P$4:$P$38,"CEE",'Status of Curriculum Completion'!$T$4:$T$38,"Complete")+SUMIFS('Status of Curriculum Completion'!$AM$4:$AM$38,'Status of Curriculum Completion'!$AC$4:$AC$38,"CEE",'Status of Curriculum Completion'!$AG$4:$AG$38,"Complete")</f>
        <v>#REF!</v>
      </c>
      <c r="C5" s="59">
        <f>SUMIFS('Status of Curriculum Completion'!$M$4:$M$38,'Status of Curriculum Completion'!$C$4:$C$38,"CEE",'Status of Curriculum Completion'!$G$4:$G$38,"In progress")+SUMIFS('Status of Curriculum Completion'!$Z$4:$Z$38,'Status of Curriculum Completion'!$P$4:$P$38,"CEE",'Status of Curriculum Completion'!$T$4:$T$38,"In progress")+SUMIFS('Status of Curriculum Completion'!$AM$4:$AM$38,'Status of Curriculum Completion'!$AC$4:$AC$38,"CEE",'Status of Curriculum Completion'!$AG$4:$AG$38,"In progress")</f>
        <v>0</v>
      </c>
      <c r="D5"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E5" s="59" t="e">
        <f>SUMIFS('Status of Curriculum Completion'!$M$4:$M$38,'Status of Curriculum Completion'!$C$4:$C$38,"CEE",'Status of Curriculum Completion'!$H$4:$H$38,"Complete")+SUMIFS('Status of Curriculum Completion'!$Z$4:$Z$38,'Status of Curriculum Completion'!$P$4:$P$38,"CEE",'Status of Curriculum Completion'!$U$4:$U$38,"Complete")+SUMIFS('Status of Curriculum Completion'!$AM$4:$AM$38,'Status of Curriculum Completion'!$AC$4:$AC$38,"CEE",'Status of Curriculum Completion'!$AH$4:$AH$38,"Complete")</f>
        <v>#REF!</v>
      </c>
      <c r="F5" s="59">
        <f>SUMIFS('Status of Curriculum Completion'!$M$4:$M$38,'Status of Curriculum Completion'!$C$4:$C$38,"CEE",'Status of Curriculum Completion'!$H$4:$H$38,"In Progress")+SUMIFS('Status of Curriculum Completion'!$Z$4:$Z$38,'Status of Curriculum Completion'!$P$4:$P$38,"CEE",'Status of Curriculum Completion'!$U$4:$U$38,"In Progress")+SUMIFS('Status of Curriculum Completion'!$AM$4:$AM$38,'Status of Curriculum Completion'!$AC$4:$AC$38,"CEE",'Status of Curriculum Completion'!$AH$4:$AH$38,"In Progress")</f>
        <v>0</v>
      </c>
      <c r="G5" s="59">
        <f>SUMIFS('Status of Curriculum Completion'!$M$4:$M$38,'Status of Curriculum Completion'!$C$4:$C$38,"CEE",'Status of Curriculum Completion'!$H$4:$H$38,"Planned")+SUMIFS('Status of Curriculum Completion'!$Z$4:$Z$38,'Status of Curriculum Completion'!$P$4:$P$38,"CEE",'Status of Curriculum Completion'!$U$4:$U$38,"Planned")+SUMIFS('Status of Curriculum Completion'!$AM$4:$AM$38,'Status of Curriculum Completion'!$AC$4:$AC$38,"CEE",'Status of Curriculum Completion'!$AH$4:$AH$38,"Planned")</f>
        <v>0</v>
      </c>
      <c r="H5" s="59" t="e">
        <f>SUMIFS('Status of Curriculum Completion'!$M$4:$M$38,'Status of Curriculum Completion'!$C$4:$C$38,"CEE",'Status of Curriculum Completion'!$I$4:$I$38,"Complete")+SUMIFS('Status of Curriculum Completion'!$Z$4:$Z$38,'Status of Curriculum Completion'!$P$4:$P$38,"CEE",'Status of Curriculum Completion'!$V$4:$V$38,"Complete")+SUMIFS('Status of Curriculum Completion'!$AM$4:$AM$38,'Status of Curriculum Completion'!$AC$4:$AC$38,"CEE",'Status of Curriculum Completion'!$AI$4:$AI$38,"Complete")</f>
        <v>#REF!</v>
      </c>
      <c r="I5" s="59">
        <f>SUMIFS('Status of Curriculum Completion'!$M$4:$M$38,'Status of Curriculum Completion'!$C$4:$C$38,"CEE",'Status of Curriculum Completion'!$I$4:$I$38,"In Progress")+SUMIFS('Status of Curriculum Completion'!$Z$4:$Z$38,'Status of Curriculum Completion'!$P$4:$P$38,"CEE",'Status of Curriculum Completion'!$V$4:$V$38,"In Progress")+SUMIFS('Status of Curriculum Completion'!$AM$4:$AM$38,'Status of Curriculum Completion'!$AC$4:$AC$38,"CEE",'Status of Curriculum Completion'!$AI$4:$AI$38,"In Progress")</f>
        <v>0</v>
      </c>
      <c r="J5" s="59">
        <f>SUMIFS('Status of Curriculum Completion'!$M$4:$M$38,'Status of Curriculum Completion'!$C$4:$C$38,"CEE",'Status of Curriculum Completion'!$I$4:$I$38,"Planned")+SUMIFS('Status of Curriculum Completion'!$Z$4:$Z$38,'Status of Curriculum Completion'!$P$4:$P$38,"CEE",'Status of Curriculum Completion'!$V$4:$V$38,"Planned")+SUMIFS('Status of Curriculum Completion'!$AM$4:$AM$38,'Status of Curriculum Completion'!$AC$4:$AC$38,"CEE",'Status of Curriculum Completion'!$AI$4:$AI$38,"Planned")</f>
        <v>0</v>
      </c>
      <c r="K5" s="60">
        <f>SUMIFS('Status of Curriculum Completion'!$AZ$4:$AZ$38,'Status of Curriculum Completion'!$AP$4:$AP$38,"CEE",'Status of Curriculum Completion'!$AT$4:$AT$38,"Complete")+SUMIFS('Status of Curriculum Completion'!$BM$4:$BM$38,'Status of Curriculum Completion'!$BC$4:$BC$38,"CEE",'Status of Curriculum Completion'!$BG$4:$BG$38,"Complete")+SUMIFS('Status of Curriculum Completion'!$BZ$4:$BZ$38,'Status of Curriculum Completion'!$BP$4:$BP$38,"CEE",'Status of Curriculum Completion'!$BT$4:$BT$38,"Complete")</f>
        <v>0</v>
      </c>
      <c r="L5" s="60">
        <f>SUMIFS('Status of Curriculum Completion'!$AZ$4:$AZ$38,'Status of Curriculum Completion'!$AP$4:$AP$38,"CEE",'Status of Curriculum Completion'!$AT$4:$AT$38,"In Progress")+SUMIFS('Status of Curriculum Completion'!$BM$4:$BM$38,'Status of Curriculum Completion'!$BC$4:$BC$38,"CEE",'Status of Curriculum Completion'!$BG$4:$BG$38,"In Progress")+SUMIFS('Status of Curriculum Completion'!$BZ$4:$BZ$38,'Status of Curriculum Completion'!$BP$4:$BP$38,"CEE",'Status of Curriculum Completion'!$BT$4:$BT$38,"In Progress")</f>
        <v>0</v>
      </c>
      <c r="M5" s="60">
        <f>SUMIFS('Status of Curriculum Completion'!$AZ$4:$AZ$38,'Status of Curriculum Completion'!$AP$4:$AP$38,"CEE",'Status of Curriculum Completion'!$AT$4:$AT$38,"Planned")+SUMIFS('Status of Curriculum Completion'!$BM$4:$BM$38,'Status of Curriculum Completion'!$BC$4:$BC$38,"CEE",'Status of Curriculum Completion'!$BG$4:$BG$38,"Planned")+SUMIFS('Status of Curriculum Completion'!$BZ$4:$BZ$38,'Status of Curriculum Completion'!$BP$4:$BP$38,"CEE",'Status of Curriculum Completion'!$BT$4:$BT$38,"Planned")</f>
        <v>0</v>
      </c>
      <c r="N5" s="60">
        <f>SUMIFS('Status of Curriculum Completion'!$AZ$4:$AZ$38,'Status of Curriculum Completion'!$AP$4:$AP$38,"CEE",'Status of Curriculum Completion'!$AU$4:$AU$38,"Complete")+SUMIFS('Status of Curriculum Completion'!$BM$4:$BM$38,'Status of Curriculum Completion'!$BC$4:$BC$38,"CEE",'Status of Curriculum Completion'!$BH$4:$BH$38,"Complete")+SUMIFS('Status of Curriculum Completion'!$BZ$4:$BZ$38,'Status of Curriculum Completion'!$BP$4:$BP$38,"CEE",'Status of Curriculum Completion'!$BU$4:$BU$38,"Complete")</f>
        <v>0</v>
      </c>
      <c r="O5" s="60">
        <f>SUMIFS('Status of Curriculum Completion'!$AZ$4:$AZ$38,'Status of Curriculum Completion'!$AP$4:$AP$38,"CEE",'Status of Curriculum Completion'!$AU$4:$AU$38,"In Progress")+SUMIFS('Status of Curriculum Completion'!$BM$4:$BM$38,'Status of Curriculum Completion'!$BC$4:$BC$38,"CEE",'Status of Curriculum Completion'!$BH$4:$BH$38,"In Progress")+SUMIFS('Status of Curriculum Completion'!$BZ$4:$BZ$38,'Status of Curriculum Completion'!$BP$4:$BP$38,"CEE",'Status of Curriculum Completion'!$BU$4:$BU$38,"In Progress")</f>
        <v>0</v>
      </c>
      <c r="P5" s="60">
        <f>SUMIFS('Status of Curriculum Completion'!$AZ$4:$AZ$38,'Status of Curriculum Completion'!$AP$4:$AP$38,"CEE",'Status of Curriculum Completion'!$AU$4:$AU$38,"Planned")+SUMIFS('Status of Curriculum Completion'!$BM$4:$BM$38,'Status of Curriculum Completion'!$BC$4:$BC$38,"CEE",'Status of Curriculum Completion'!$BH$4:$BH$38,"Planned")+SUMIFS('Status of Curriculum Completion'!$BZ$4:$BZ$38,'Status of Curriculum Completion'!$BP$4:$BP$38,"CEE",'Status of Curriculum Completion'!$BU$4:$BU$38,"Planned")</f>
        <v>0</v>
      </c>
      <c r="Q5" s="60">
        <f>SUMIFS('Status of Curriculum Completion'!$AZ$4:$AZ$38,'Status of Curriculum Completion'!$AP$4:$AP$38,"CEE",'Status of Curriculum Completion'!$AV$4:$AV$38,"Complete")+SUMIFS('Status of Curriculum Completion'!$BM$4:$BM$38,'Status of Curriculum Completion'!$BC$4:$BC$38,"CEE",'Status of Curriculum Completion'!$BI$4:$BI$38,"Complete")+SUMIFS('Status of Curriculum Completion'!$BZ$4:$BZ$38,'Status of Curriculum Completion'!$BP$4:$BP$38,"CEE",'Status of Curriculum Completion'!$BV$4:$BV$38,"Complete")</f>
        <v>0</v>
      </c>
      <c r="R5" s="60">
        <f>SUMIFS('Status of Curriculum Completion'!$AZ$4:$AZ$38,'Status of Curriculum Completion'!$AP$4:$AP$38,"CEE",'Status of Curriculum Completion'!$AV$4:$AV$38,"In Progress")+SUMIFS('Status of Curriculum Completion'!$BM$4:$BM$38,'Status of Curriculum Completion'!$BC$4:$BC$38,"CEE",'Status of Curriculum Completion'!$BI$4:$BI$38,"In Progress")+SUMIFS('Status of Curriculum Completion'!$BZ$4:$BZ$38,'Status of Curriculum Completion'!$BP$4:$BP$38,"CEE",'Status of Curriculum Completion'!$BV$4:$BV$38,"In Progress")</f>
        <v>0</v>
      </c>
      <c r="S5" s="60">
        <f>SUMIFS('Status of Curriculum Completion'!$AZ$4:$AZ$38,'Status of Curriculum Completion'!$AP$4:$AP$38,"CEE",'Status of Curriculum Completion'!$AV$4:$AV$38,"Planned")+SUMIFS('Status of Curriculum Completion'!$BM$4:$BM$38,'Status of Curriculum Completion'!$BC$4:$BC$38,"CEE",'Status of Curriculum Completion'!$BI$4:$BI$38,"Planned")+SUMIFS('Status of Curriculum Completion'!$BZ$4:$BZ$38,'Status of Curriculum Completion'!$BP$4:$BP$38,"CEE",'Status of Curriculum Completion'!$BV$4:$BV$38,"Planned")</f>
        <v>0</v>
      </c>
      <c r="U5" s="63" t="s">
        <v>366</v>
      </c>
      <c r="V5" s="61">
        <f>SUMIFS('Status of Curriculum Completion'!$CM$4:$CM$38,'Status of Curriculum Completion'!$CC$4:$CC$38,"CEE",'Status of Curriculum Completion'!$CG$4:$CG$38,"Complete")+SUMIFS('Status of Curriculum Completion'!$CZ$4:$CZ$38,'Status of Curriculum Completion'!$CP$4:$CP$38,"CEE",'Status of Curriculum Completion'!$CT$4:$CT$38,"Complete")+SUMIFS('Status of Curriculum Completion'!$DM$4:$DM$38,'Status of Curriculum Completion'!$DC$4:$DC$38,"CEE",'Status of Curriculum Completion'!$DG$4:$DG$38,"Complete")</f>
        <v>0</v>
      </c>
      <c r="W5" s="61">
        <f>SUMIFS('Status of Curriculum Completion'!$CM$4:$CM$38,'Status of Curriculum Completion'!$CC$4:$CC$38,"CEE",'Status of Curriculum Completion'!$CG$4:$CG$38,"In Progress")+SUMIFS('Status of Curriculum Completion'!$CZ$4:$CZ$38,'Status of Curriculum Completion'!$CP$4:$CP$38,"CEE",'Status of Curriculum Completion'!$CT$4:$CT$38,"In Progress")+SUMIFS('Status of Curriculum Completion'!$DM$4:$DM$38,'Status of Curriculum Completion'!$DC$4:$DC$38,"CEE",'Status of Curriculum Completion'!$DG$4:$DG$38,"In Progress")</f>
        <v>0</v>
      </c>
      <c r="X5" s="61">
        <f>SUMIFS('Status of Curriculum Completion'!$CM$4:$CM$38,'Status of Curriculum Completion'!$CC$4:$CC$38,"CEE",'Status of Curriculum Completion'!$CG$4:$CG$38,"Planned")+SUMIFS('Status of Curriculum Completion'!$CZ$4:$CZ$38,'Status of Curriculum Completion'!$CP$4:$CP$38,"CEE",'Status of Curriculum Completion'!$CT$4:$CT$38,"Planned")+SUMIFS('Status of Curriculum Completion'!$DM$4:$DM$38,'Status of Curriculum Completion'!$DC$4:$DC$38,"CEE",'Status of Curriculum Completion'!$DG$4:$DG$38,"Planned")</f>
        <v>0</v>
      </c>
      <c r="Y5" s="61">
        <f>SUMIFS('Status of Curriculum Completion'!$CM$4:$CM$38,'Status of Curriculum Completion'!$CC$4:$CC$38,"CEE",'Status of Curriculum Completion'!$CG$4:$CG$38,"Tentative")+SUMIFS('Status of Curriculum Completion'!$CZ$4:$CZ$38,'Status of Curriculum Completion'!$CP$4:$CP$38,"CEE",'Status of Curriculum Completion'!$CT$4:$CT$38,"Tentative")+SUMIFS('Status of Curriculum Completion'!$DM$4:$DM$38,'Status of Curriculum Completion'!$DC$4:$DC$38,"CEE",'Status of Curriculum Completion'!$DG$4:$DG$38,"Tentative")</f>
        <v>0</v>
      </c>
      <c r="Z5" s="61">
        <f>SUMIFS('Status of Curriculum Completion'!$CM$4:$CM$38,'Status of Curriculum Completion'!$CC$4:$CC$38,"CEE",'Status of Curriculum Completion'!$CH$4:$CH$38,"Complete")+SUMIFS('Status of Curriculum Completion'!$CZ$4:$CZ$38,'Status of Curriculum Completion'!$CP$4:$CP$38,"CEE",'Status of Curriculum Completion'!$CU$4:$CU$38,"Complete")+SUMIFS('Status of Curriculum Completion'!$DM$4:$DM$38,'Status of Curriculum Completion'!$DC$4:$DC$38,"CEE",'Status of Curriculum Completion'!$DH$4:$DH$38,"Complete")</f>
        <v>0</v>
      </c>
      <c r="AA5" s="61">
        <f>SUMIFS('Status of Curriculum Completion'!$CM$4:$CM$38,'Status of Curriculum Completion'!$CC$4:$CC$38,"CEE",'Status of Curriculum Completion'!$CH$4:$CH$38,"In Progress")+SUMIFS('Status of Curriculum Completion'!$CZ$4:$CZ$38,'Status of Curriculum Completion'!$CP$4:$CP$38,"CEE",'Status of Curriculum Completion'!$CU$4:$CU$38,"In Progress")+SUMIFS('Status of Curriculum Completion'!$DM$4:$DM$38,'Status of Curriculum Completion'!$DC$4:$DC$38,"CEE",'Status of Curriculum Completion'!$DH$4:$DH$38,"In Progress")</f>
        <v>0</v>
      </c>
      <c r="AB5" s="61">
        <f>SUMIFS('Status of Curriculum Completion'!$CM$4:$CM$38,'Status of Curriculum Completion'!$CC$4:$CC$38,"CEE",'Status of Curriculum Completion'!$CH$4:$CH$38,"Planned")+SUMIFS('Status of Curriculum Completion'!$CZ$4:$CZ$38,'Status of Curriculum Completion'!$CP$4:$CP$38,"CEE",'Status of Curriculum Completion'!$CU$4:$CU$38,"Planned")+SUMIFS('Status of Curriculum Completion'!$DM$4:$DM$38,'Status of Curriculum Completion'!$DC$4:$DC$38,"CEE",'Status of Curriculum Completion'!$DH$4:$DH$38,"Planned")</f>
        <v>0</v>
      </c>
      <c r="AC5" s="61">
        <f>SUMIFS('Status of Curriculum Completion'!$CM$4:$CM$38,'Status of Curriculum Completion'!$CC$4:$CC$38,"CEE",'Status of Curriculum Completion'!$CH$4:$CH$38,"Tentative")+SUMIFS('Status of Curriculum Completion'!$CZ$4:$CZ$38,'Status of Curriculum Completion'!$CP$4:$CP$38,"CEE",'Status of Curriculum Completion'!$CU$4:$CU$38,"Tentative")+SUMIFS('Status of Curriculum Completion'!$DM$4:$DM$38,'Status of Curriculum Completion'!$DC$4:$DC$38,"CEE",'Status of Curriculum Completion'!$DH$4:$DH$38,"Tentative")</f>
        <v>0</v>
      </c>
      <c r="AD5" s="61">
        <f>SUMIFS('Status of Curriculum Completion'!$CM$4:$CM$38,'Status of Curriculum Completion'!$CC$4:$CC$38,"CEE",'Status of Curriculum Completion'!$CI$4:$CI$38,"Complete")+SUMIFS('Status of Curriculum Completion'!$CZ$4:$CZ$38,'Status of Curriculum Completion'!$CP$4:$CP$38,"CEE",'Status of Curriculum Completion'!$CV$4:$CV$38,"Complete")+SUMIFS('Status of Curriculum Completion'!$DM$4:$DM$38,'Status of Curriculum Completion'!$DC$4:$DC$38,"CEE",'Status of Curriculum Completion'!$DI$4:$DI$38,"Complete")</f>
        <v>0</v>
      </c>
      <c r="AE5" s="61">
        <f>SUMIFS('Status of Curriculum Completion'!$CM$4:$CM$38,'Status of Curriculum Completion'!$CC$4:$CC$38,"CEE",'Status of Curriculum Completion'!$CI$4:$CI$38,"In Progress")+SUMIFS('Status of Curriculum Completion'!$CZ$4:$CZ$38,'Status of Curriculum Completion'!$CP$4:$CP$38,"CEE",'Status of Curriculum Completion'!$CV$4:$CV$38,"In Progress")+SUMIFS('Status of Curriculum Completion'!$DM$4:$DM$38,'Status of Curriculum Completion'!$DC$4:$DC$38,"CEE",'Status of Curriculum Completion'!$DI$4:$DI$38,"In Progress")</f>
        <v>0</v>
      </c>
      <c r="AF5" s="61">
        <f>SUMIFS('Status of Curriculum Completion'!$CM$4:$CM$38,'Status of Curriculum Completion'!$CC$4:$CC$38,"CEE",'Status of Curriculum Completion'!$CI$4:$CI$38,"Planned")+SUMIFS('Status of Curriculum Completion'!$CZ$4:$CZ$38,'Status of Curriculum Completion'!$CP$4:$CP$38,"CEE",'Status of Curriculum Completion'!$CV$4:$CV$38,"Planned")+SUMIFS('Status of Curriculum Completion'!$DM$4:$DM$38,'Status of Curriculum Completion'!$DC$4:$DC$38,"CEE",'Status of Curriculum Completion'!$DI$4:$DI$38,"Planned")</f>
        <v>0</v>
      </c>
      <c r="AG5" s="61">
        <f>SUMIFS('Status of Curriculum Completion'!$CM$4:$CM$38,'Status of Curriculum Completion'!$CC$4:$CC$38,"CEE",'Status of Curriculum Completion'!$CI$4:$CI$38,"Tentative")+SUMIFS('Status of Curriculum Completion'!$CZ$4:$CZ$38,'Status of Curriculum Completion'!$CP$4:$CP$38,"CEE",'Status of Curriculum Completion'!$CV$4:$CV$38,"Tentative")+SUMIFS('Status of Curriculum Completion'!$DM$4:$DM$38,'Status of Curriculum Completion'!$DC$4:$DC$38,"CEE",'Status of Curriculum Completion'!$DI$4:$DI$38,"Tentative")</f>
        <v>0</v>
      </c>
      <c r="AH5" s="62">
        <f>SUMIFS('Status of Curriculum Completion'!$DZ$4:$DZ$38,'Status of Curriculum Completion'!$DP$4:$DP$38,"CEE",'Status of Curriculum Completion'!$DT$4:$DT$38,"Complete")+SUMIFS('Status of Curriculum Completion'!$EM$4:$EM$38,'Status of Curriculum Completion'!$EC$4:$EC$38,"CEE",'Status of Curriculum Completion'!$EG$4:$EG$38,"Complete")+SUMIFS('Status of Curriculum Completion'!$EZ$4:$EZ$38,'Status of Curriculum Completion'!$EP$4:$EP$38,"CEE",'Status of Curriculum Completion'!$ET$4:$ET$38,"Complete")</f>
        <v>0</v>
      </c>
      <c r="AI5" s="62">
        <f>SUMIFS('Status of Curriculum Completion'!$DZ$4:$DZ$38,'Status of Curriculum Completion'!$DP$4:$DP$38,"CEE",'Status of Curriculum Completion'!$DT$4:$DT$38,"In Progress")+SUMIFS('Status of Curriculum Completion'!$EM$4:$EM$38,'Status of Curriculum Completion'!$EC$4:$EC$38,"CEE",'Status of Curriculum Completion'!$EG$4:$EG$38,"In Progress")+SUMIFS('Status of Curriculum Completion'!$EZ$4:$EZ$38,'Status of Curriculum Completion'!$EP$4:$EP$38,"CEE",'Status of Curriculum Completion'!$ET$4:$ET$38,"In Progress")</f>
        <v>0</v>
      </c>
      <c r="AJ5" s="62">
        <f>SUMIFS('Status of Curriculum Completion'!$DZ$4:$DZ$38,'Status of Curriculum Completion'!$DP$4:$DP$38,"CEE",'Status of Curriculum Completion'!$DT$4:$DT$38,"Planned")+SUMIFS('Status of Curriculum Completion'!$EM$4:$EM$38,'Status of Curriculum Completion'!$EC$4:$EC$38,"CEE",'Status of Curriculum Completion'!$EG$4:$EG$38,"Planned")+SUMIFS('Status of Curriculum Completion'!$EZ$4:$EZ$38,'Status of Curriculum Completion'!$EP$4:$EP$38,"CEE",'Status of Curriculum Completion'!$ET$4:$ET$38,"Planned")</f>
        <v>0</v>
      </c>
      <c r="AK5" s="62">
        <f>SUMIFS('Status of Curriculum Completion'!$DZ$4:$DZ$38,'Status of Curriculum Completion'!$DP$4:$DP$38,"CEE",'Status of Curriculum Completion'!$DT$4:$DT$38,"Tentative")+SUMIFS('Status of Curriculum Completion'!$EM$4:$EM$38,'Status of Curriculum Completion'!$EC$4:$EC$38,"CEE",'Status of Curriculum Completion'!$EG$4:$EG$38,"Tentative")+SUMIFS('Status of Curriculum Completion'!$EZ$4:$EZ$38,'Status of Curriculum Completion'!$EP$4:$EP$38,"CEE",'Status of Curriculum Completion'!$ET$4:$ET$38,"Tentative")</f>
        <v>0</v>
      </c>
      <c r="AL5" s="62">
        <f>SUMIFS('Status of Curriculum Completion'!$DZ$4:$DZ$38,'Status of Curriculum Completion'!$DP$4:$DP$38,"CEE",'Status of Curriculum Completion'!$DU$4:$DU$38,"Complete")+SUMIFS('Status of Curriculum Completion'!$EM$4:$EM$38,'Status of Curriculum Completion'!$EC$4:$EC$38,"CEE",'Status of Curriculum Completion'!$EH$4:$EH$38,"Complete")+SUMIFS('Status of Curriculum Completion'!$EZ$4:$EZ$38,'Status of Curriculum Completion'!$EP$4:$EP$38,"CEE",'Status of Curriculum Completion'!$EU$4:$EU$38,"Complete")</f>
        <v>0</v>
      </c>
      <c r="AM5" s="62">
        <f>SUMIFS('Status of Curriculum Completion'!$DZ$4:$DZ$38,'Status of Curriculum Completion'!$DP$4:$DP$38,"CEE",'Status of Curriculum Completion'!$DU$4:$DU$38,"In Progress")+SUMIFS('Status of Curriculum Completion'!$EM$4:$EM$38,'Status of Curriculum Completion'!$EC$4:$EC$38,"CEE",'Status of Curriculum Completion'!$EH$4:$EH$38,"In Progress")+SUMIFS('Status of Curriculum Completion'!$EZ$4:$EZ$38,'Status of Curriculum Completion'!$EP$4:$EP$38,"CEE",'Status of Curriculum Completion'!$EU$4:$EU$38,"In Progress")</f>
        <v>0</v>
      </c>
      <c r="AN5" s="62">
        <f>SUMIFS('Status of Curriculum Completion'!$DZ$4:$DZ$38,'Status of Curriculum Completion'!$DP$4:$DP$38,"CEE",'Status of Curriculum Completion'!$DU$4:$DU$38,"Planned")+SUMIFS('Status of Curriculum Completion'!$EM$4:$EM$38,'Status of Curriculum Completion'!$EC$4:$EC$38,"CEE",'Status of Curriculum Completion'!$EH$4:$EH$38,"Planned")+SUMIFS('Status of Curriculum Completion'!$EZ$4:$EZ$38,'Status of Curriculum Completion'!$EP$4:$EP$38,"CEE",'Status of Curriculum Completion'!$EU$4:$EU$38,"Planned")</f>
        <v>0</v>
      </c>
      <c r="AO5" s="62">
        <f>SUMIFS('Status of Curriculum Completion'!$DZ$4:$DZ$38,'Status of Curriculum Completion'!$DP$4:$DP$38,"CEE",'Status of Curriculum Completion'!$DU$4:$DU$38,"Tentative")+SUMIFS('Status of Curriculum Completion'!$EM$4:$EM$38,'Status of Curriculum Completion'!$EC$4:$EC$38,"CEE",'Status of Curriculum Completion'!$EH$4:$EH$38,"Tentative")+SUMIFS('Status of Curriculum Completion'!$EZ$4:$EZ$38,'Status of Curriculum Completion'!$EP$4:$EP$38,"CEE",'Status of Curriculum Completion'!$EU$4:$EU$38,"Tentative")</f>
        <v>0</v>
      </c>
      <c r="AP5" s="62">
        <f>SUMIFS('Status of Curriculum Completion'!$DZ$4:$DZ$38,'Status of Curriculum Completion'!$DP$4:$DP$38,"CEE",'Status of Curriculum Completion'!$DV$4:$DV$38,"Complete")+SUMIFS('Status of Curriculum Completion'!$EM$4:$EM$38,'Status of Curriculum Completion'!$EC$4:$EC$38,"CEE",'Status of Curriculum Completion'!$EI$4:$EI$38,"Complete")+SUMIFS('Status of Curriculum Completion'!$EZ$4:$EZ$38,'Status of Curriculum Completion'!$EP$4:$EP$38,"CEE",'Status of Curriculum Completion'!$EV$4:$EV$38,"Complete")</f>
        <v>0</v>
      </c>
      <c r="AQ5" s="62">
        <f>SUMIFS('Status of Curriculum Completion'!$DZ$4:$DZ$38,'Status of Curriculum Completion'!$DP$4:$DP$38,"CEE",'Status of Curriculum Completion'!$DV$4:$DV$38,"In Progress")+SUMIFS('Status of Curriculum Completion'!$EM$4:$EM$38,'Status of Curriculum Completion'!$EC$4:$EC$38,"CEE",'Status of Curriculum Completion'!$EI$4:$EI$38,"In Progress")+SUMIFS('Status of Curriculum Completion'!$EZ$4:$EZ$38,'Status of Curriculum Completion'!$EP$4:$EP$38,"CEE",'Status of Curriculum Completion'!$EV$4:$EV$38,"In Progress")</f>
        <v>0</v>
      </c>
      <c r="AR5" s="62">
        <f>SUMIFS('Status of Curriculum Completion'!$DZ$4:$DZ$38,'Status of Curriculum Completion'!$DP$4:$DP$38,"CEE",'Status of Curriculum Completion'!$DV$4:$DV$38,"Planned")+SUMIFS('Status of Curriculum Completion'!$EM$4:$EM$38,'Status of Curriculum Completion'!$EC$4:$EC$38,"CEE",'Status of Curriculum Completion'!$EI$4:$EI$38,"Planned")+SUMIFS('Status of Curriculum Completion'!$EZ$4:$EZ$38,'Status of Curriculum Completion'!$EP$4:$EP$38,"CEE",'Status of Curriculum Completion'!$EV$4:$EV$38,"Planned")</f>
        <v>0</v>
      </c>
      <c r="AS5" s="62">
        <f>SUMIFS('Status of Curriculum Completion'!$DZ$4:$DZ$38,'Status of Curriculum Completion'!$DP$4:$DP$38,"CEE",'Status of Curriculum Completion'!$DV$4:$DV$38,"Tentative")+SUMIFS('Status of Curriculum Completion'!$EM$4:$EM$38,'Status of Curriculum Completion'!$EC$4:$EC$38,"CEE",'Status of Curriculum Completion'!$EI$4:$EI$38,"Tentative")+SUMIFS('Status of Curriculum Completion'!$EZ$4:$EZ$38,'Status of Curriculum Completion'!$EP$4:$EP$38,"CEE",'Status of Curriculum Completion'!$EV$4:$EV$38,"Tentative")</f>
        <v>0</v>
      </c>
    </row>
    <row r="6" spans="1:45" ht="29.5" thickBot="1">
      <c r="A6" s="63" t="s">
        <v>1627</v>
      </c>
      <c r="B6" s="59">
        <f>SUMIFS('Status of Curriculum Completion'!M$4:M$38,'Status of Curriculum Completion'!C$4:C$38,"CIC China",'Status of Curriculum Completion'!G$4:G$38,"Complete")+SUMIFS('Status of Curriculum Completion'!Z$4:Z$38,'Status of Curriculum Completion'!P$4:P$38,"CIC China",'Status of Curriculum Completion'!T$4:T$38,"Complete")+SUMIFS('Status of Curriculum Completion'!AM$4:AM$38,'Status of Curriculum Completion'!AC$4:AC$38,"CIC China",'Status of Curriculum Completion'!AG$4:AG$38,"Complete")</f>
        <v>0</v>
      </c>
      <c r="C6" s="59">
        <f>SUMIFS('Status of Curriculum Completion'!$M$4:$M$38,'Status of Curriculum Completion'!$C$4:$C$38,"CIC China",'Status of Curriculum Completion'!$G$4:$G$38,"In progress")+SUMIFS('Status of Curriculum Completion'!$Z$4:$Z$38,'Status of Curriculum Completion'!$P$4:$P$38,"CIC China",'Status of Curriculum Completion'!$T$4:$T$38,"In progress")+SUMIFS('Status of Curriculum Completion'!$AM$4:$AM$38,'Status of Curriculum Completion'!$AC$4:$AC$38,"CIC China",'Status of Curriculum Completion'!$AG$4:$AG$38,"In progress")</f>
        <v>0</v>
      </c>
      <c r="D6" s="59">
        <f>SUMIFS('Status of Curriculum Completion'!$M$4:$M$38,'Status of Curriculum Completion'!$C$4:$C$38,"CIC China",'Status of Curriculum Completion'!$G$4:$G$38,"Planned")+SUMIFS('Status of Curriculum Completion'!$Z$4:$Z$38,'Status of Curriculum Completion'!$P$4:$P$38,"CIC China",'Status of Curriculum Completion'!$T$4:$T$38,"Planned")+SUMIFS('Status of Curriculum Completion'!$AM$4:$AM$38,'Status of Curriculum Completion'!$AC$4:$AC$38,"CIC China",'Status of Curriculum Completion'!$AG$4:$AG$38,"Planned")</f>
        <v>0</v>
      </c>
      <c r="E6" s="59">
        <f>SUMIFS('Status of Curriculum Completion'!$M$4:$M$38,'Status of Curriculum Completion'!$C$4:$C$38,"CIC China",'Status of Curriculum Completion'!$H$4:$H$38,"Complete")+SUMIFS('Status of Curriculum Completion'!$Z$4:$Z$38,'Status of Curriculum Completion'!$P$4:$P$38,"CIC China",'Status of Curriculum Completion'!$U$4:$U$38,"Complete")+SUMIFS('Status of Curriculum Completion'!$AM$4:$AM$38,'Status of Curriculum Completion'!$AC$4:$AC$38,"CIC China",'Status of Curriculum Completion'!$AH$4:$AH$38,"Complete")</f>
        <v>0</v>
      </c>
      <c r="F6" s="59">
        <f>SUMIFS('Status of Curriculum Completion'!$M$4:$M$38,'Status of Curriculum Completion'!$C$4:$C$38,"CIC China",'Status of Curriculum Completion'!$H$4:$H$38,"In Progress")+SUMIFS('Status of Curriculum Completion'!$Z$4:$Z$38,'Status of Curriculum Completion'!$P$4:$P$38,"CIC China",'Status of Curriculum Completion'!$U$4:$U$38,"In Progress")+SUMIFS('Status of Curriculum Completion'!$AM$4:$AM$38,'Status of Curriculum Completion'!$AC$4:$AC$38,"CIC China",'Status of Curriculum Completion'!$AH$4:$AH$38,"In Progress")</f>
        <v>0</v>
      </c>
      <c r="G6" s="59">
        <f>SUMIFS('Status of Curriculum Completion'!$M$4:$M$38,'Status of Curriculum Completion'!$C$4:$C$38,"CIC China",'Status of Curriculum Completion'!$H$4:$H$38,"Planned")+SUMIFS('Status of Curriculum Completion'!$Z$4:$Z$38,'Status of Curriculum Completion'!$P$4:$P$38,"CIC China",'Status of Curriculum Completion'!$U$4:$U$38,"Planned")+SUMIFS('Status of Curriculum Completion'!$AM$4:$AM$38,'Status of Curriculum Completion'!$AC$4:$AC$38,"CIC China",'Status of Curriculum Completion'!$AH$4:$AH$38,"Planned")</f>
        <v>0</v>
      </c>
      <c r="H6" s="59">
        <f>SUMIFS('Status of Curriculum Completion'!$M$4:$M$38,'Status of Curriculum Completion'!$C$4:$C$38,"CIC China",'Status of Curriculum Completion'!$I$4:$I$38,"Complete")+SUMIFS('Status of Curriculum Completion'!$Z$4:$Z$38,'Status of Curriculum Completion'!$P$4:$P$38,"CIC China",'Status of Curriculum Completion'!$V$4:$V$38,"Complete")+SUMIFS('Status of Curriculum Completion'!$AM$4:$AM$38,'Status of Curriculum Completion'!$AC$4:$AC$38,"CIC China",'Status of Curriculum Completion'!$AI$4:$AI$38,"Complete")</f>
        <v>0</v>
      </c>
      <c r="I6" s="59">
        <f>SUMIFS('Status of Curriculum Completion'!$M$4:$M$38,'Status of Curriculum Completion'!$C$4:$C$38,"CIC China",'Status of Curriculum Completion'!$I$4:$I$38,"In Progress")+SUMIFS('Status of Curriculum Completion'!$Z$4:$Z$38,'Status of Curriculum Completion'!$P$4:$P$38,"CIC China",'Status of Curriculum Completion'!$V$4:$V$38,"In Progress")+SUMIFS('Status of Curriculum Completion'!$AM$4:$AM$38,'Status of Curriculum Completion'!$AC$4:$AC$38,"CIC China",'Status of Curriculum Completion'!$AI$4:$AI$38,"In Progress")</f>
        <v>0</v>
      </c>
      <c r="J6" s="59">
        <f>SUMIFS('Status of Curriculum Completion'!$M$4:$M$38,'Status of Curriculum Completion'!$C$4:$C$38,"CIC China",'Status of Curriculum Completion'!$I$4:$I$38,"Planned")+SUMIFS('Status of Curriculum Completion'!$Z$4:$Z$38,'Status of Curriculum Completion'!$P$4:$P$38,"CIC China",'Status of Curriculum Completion'!$V$4:$V$38,"Planned")+SUMIFS('Status of Curriculum Completion'!$AM$4:$AM$38,'Status of Curriculum Completion'!$AC$4:$AC$38,"CIC China",'Status of Curriculum Completion'!$AI$4:$AI$38,"Planned")</f>
        <v>0</v>
      </c>
      <c r="K6" s="60">
        <f>SUMIFS('Status of Curriculum Completion'!$AZ$4:$AZ$38,'Status of Curriculum Completion'!$AP$4:$AP$38,"CIC China",'Status of Curriculum Completion'!$AT$4:$AT$38,"Complete")+SUMIFS('Status of Curriculum Completion'!$BM$4:$BM$38,'Status of Curriculum Completion'!$BC$4:$BC$38,"CIC China",'Status of Curriculum Completion'!$BG$4:$BG$38,"Complete")+SUMIFS('Status of Curriculum Completion'!$BZ$4:$BZ$38,'Status of Curriculum Completion'!$BP$4:$BP$38,"CIC China",'Status of Curriculum Completion'!$BT$4:$BT$38,"Complete")</f>
        <v>41</v>
      </c>
      <c r="L6" s="60">
        <f>SUMIFS('Status of Curriculum Completion'!$AZ$4:$AZ$38,'Status of Curriculum Completion'!$AP$4:$AP$38,"CIC China",'Status of Curriculum Completion'!$AT$4:$AT$38,"In Progress")+SUMIFS('Status of Curriculum Completion'!$BM$4:$BM$38,'Status of Curriculum Completion'!$BC$4:$BC$38,"CIC China",'Status of Curriculum Completion'!$BG$4:$BG$38,"In Progress")+SUMIFS('Status of Curriculum Completion'!$BZ$4:$BZ$38,'Status of Curriculum Completion'!$BP$4:$BP$38,"CIC China",'Status of Curriculum Completion'!$BT$4:$BT$38,"In Progress")</f>
        <v>0</v>
      </c>
      <c r="M6" s="60">
        <f>SUMIFS('Status of Curriculum Completion'!$AZ$4:$AZ$38,'Status of Curriculum Completion'!$AP$4:$AP$38,"CIC China",'Status of Curriculum Completion'!$AT$4:$AT$38,"Planned")+SUMIFS('Status of Curriculum Completion'!$BM$4:$BM$38,'Status of Curriculum Completion'!$BC$4:$BC$38,"CIC China",'Status of Curriculum Completion'!$BG$4:$BG$38,"Planned")+SUMIFS('Status of Curriculum Completion'!$BZ$4:$BZ$38,'Status of Curriculum Completion'!$BP$4:$BP$38,"CIC China",'Status of Curriculum Completion'!$BT$4:$BT$38,"Planned")</f>
        <v>0</v>
      </c>
      <c r="N6" s="60">
        <f>SUMIFS('Status of Curriculum Completion'!$AZ$4:$AZ$38,'Status of Curriculum Completion'!$AP$4:$AP$38,"CIC China",'Status of Curriculum Completion'!$AU$4:$AU$38,"Complete")+SUMIFS('Status of Curriculum Completion'!$BM$4:$BM$38,'Status of Curriculum Completion'!$BC$4:$BC$38,"CIC China",'Status of Curriculum Completion'!$BH$4:$BH$38,"Complete")+SUMIFS('Status of Curriculum Completion'!$BZ$4:$BZ$38,'Status of Curriculum Completion'!$BP$4:$BP$38,"CIC China",'Status of Curriculum Completion'!$BU$4:$BU$38,"Complete")</f>
        <v>41</v>
      </c>
      <c r="O6" s="60">
        <f>SUMIFS('Status of Curriculum Completion'!$AZ$4:$AZ$38,'Status of Curriculum Completion'!$AP$4:$AP$38,"CIC China",'Status of Curriculum Completion'!$AU$4:$AU$38,"In Progress")+SUMIFS('Status of Curriculum Completion'!$BM$4:$BM$38,'Status of Curriculum Completion'!$BC$4:$BC$38,"CIC China",'Status of Curriculum Completion'!$BH$4:$BH$38,"In Progress")+SUMIFS('Status of Curriculum Completion'!$BZ$4:$BZ$38,'Status of Curriculum Completion'!$BP$4:$BP$38,"CIC China",'Status of Curriculum Completion'!$BU$4:$BU$38,"In Progress")</f>
        <v>0</v>
      </c>
      <c r="P6" s="60">
        <f>SUMIFS('Status of Curriculum Completion'!$AZ$4:$AZ$38,'Status of Curriculum Completion'!$AP$4:$AP$38,"CIC China",'Status of Curriculum Completion'!$AU$4:$AU$38,"Planned")+SUMIFS('Status of Curriculum Completion'!$BM$4:$BM$38,'Status of Curriculum Completion'!$BC$4:$BC$38,"CIC China",'Status of Curriculum Completion'!$BH$4:$BH$38,"Planned")+SUMIFS('Status of Curriculum Completion'!$BZ$4:$BZ$38,'Status of Curriculum Completion'!$BP$4:$BP$38,"CIC China",'Status of Curriculum Completion'!$BU$4:$BU$38,"Planned")</f>
        <v>0</v>
      </c>
      <c r="Q6" s="60">
        <f>SUMIFS('Status of Curriculum Completion'!$AZ$4:$AZ$38,'Status of Curriculum Completion'!$AP$4:$AP$38,"CIC China",'Status of Curriculum Completion'!$AV$4:$AV$38,"Complete")+SUMIFS('Status of Curriculum Completion'!$BM$4:$BM$38,'Status of Curriculum Completion'!$BC$4:$BC$38,"CIC China",'Status of Curriculum Completion'!$BI$4:$BI$38,"Complete")+SUMIFS('Status of Curriculum Completion'!$BZ$4:$BZ$38,'Status of Curriculum Completion'!$BP$4:$BP$38,"CIC China",'Status of Curriculum Completion'!$BV$4:$BV$38,"Complete")</f>
        <v>41</v>
      </c>
      <c r="R6" s="60">
        <f>SUMIFS('Status of Curriculum Completion'!$AZ$4:$AZ$38,'Status of Curriculum Completion'!$AP$4:$AP$38,"CIC China",'Status of Curriculum Completion'!$AV$4:$AV$38,"In Progress")+SUMIFS('Status of Curriculum Completion'!$BM$4:$BM$38,'Status of Curriculum Completion'!$BC$4:$BC$38,"CIC China",'Status of Curriculum Completion'!$BI$4:$BI$38,"In Progress")+SUMIFS('Status of Curriculum Completion'!$BZ$4:$BZ$38,'Status of Curriculum Completion'!$BP$4:$BP$38,"CIC China",'Status of Curriculum Completion'!$BV$4:$BV$38,"In Progress")</f>
        <v>0</v>
      </c>
      <c r="S6" s="60">
        <f>SUMIFS('Status of Curriculum Completion'!$AZ$4:$AZ$38,'Status of Curriculum Completion'!$AP$4:$AP$38,"CIC China",'Status of Curriculum Completion'!$AV$4:$AV$38,"Planned")+SUMIFS('Status of Curriculum Completion'!$BM$4:$BM$38,'Status of Curriculum Completion'!$BC$4:$BC$38,"CIC China",'Status of Curriculum Completion'!$BI$4:$BI$38,"Planned")+SUMIFS('Status of Curriculum Completion'!$BZ$4:$BZ$38,'Status of Curriculum Completion'!$BP$4:$BP$38,"CIC China",'Status of Curriculum Completion'!$BV$4:$BV$38,"Planned")</f>
        <v>0</v>
      </c>
      <c r="U6" s="63" t="s">
        <v>1627</v>
      </c>
      <c r="V6" s="61">
        <f>SUMIFS('Status of Curriculum Completion'!$CM$4:$CM$38,'Status of Curriculum Completion'!$CC$4:$CC$38,"CIC China",'Status of Curriculum Completion'!$CG$4:$CG$38,"Complete")+SUMIFS('Status of Curriculum Completion'!$CZ$4:$CZ$38,'Status of Curriculum Completion'!$CP$4:$CP$38,"CIC China",'Status of Curriculum Completion'!$CT$4:$CT$38,"Complete")+SUMIFS('Status of Curriculum Completion'!$DM$4:$DM$38,'Status of Curriculum Completion'!$DC$4:$DC$38,"CIC China",'Status of Curriculum Completion'!$DG$4:$DG$38,"Complete")</f>
        <v>16</v>
      </c>
      <c r="W6" s="61">
        <f>SUMIFS('Status of Curriculum Completion'!$CM$4:$CM$38,'Status of Curriculum Completion'!$CC$4:$CC$38,"CIC China",'Status of Curriculum Completion'!$CG$4:$CG$38,"In Progress")+SUMIFS('Status of Curriculum Completion'!$CZ$4:$CZ$38,'Status of Curriculum Completion'!$CP$4:$CP$38,"CIC China",'Status of Curriculum Completion'!$CT$4:$CT$38,"In Progress")+SUMIFS('Status of Curriculum Completion'!$DM$4:$DM$38,'Status of Curriculum Completion'!$DC$4:$DC$38,"CIC China",'Status of Curriculum Completion'!$DG$4:$DG$38,"In Progress")</f>
        <v>0</v>
      </c>
      <c r="X6" s="61">
        <f>SUMIFS('Status of Curriculum Completion'!$CM$4:$CM$38,'Status of Curriculum Completion'!$CC$4:$CC$38,"CIC China",'Status of Curriculum Completion'!$CG$4:$CG$38,"Planned")+SUMIFS('Status of Curriculum Completion'!$CZ$4:$CZ$38,'Status of Curriculum Completion'!$CP$4:$CP$38,"CIC China",'Status of Curriculum Completion'!$CT$4:$CT$38,"Planned")+SUMIFS('Status of Curriculum Completion'!$DM$4:$DM$38,'Status of Curriculum Completion'!$DC$4:$DC$38,"CIC China",'Status of Curriculum Completion'!$DG$4:$DG$38,"Planned")</f>
        <v>0</v>
      </c>
      <c r="Y6" s="61">
        <f>SUMIFS('Status of Curriculum Completion'!$CM$4:$CM$38,'Status of Curriculum Completion'!$CC$4:$CC$38,"CIC China",'Status of Curriculum Completion'!$CG$4:$CG$38,"Tentative")+SUMIFS('Status of Curriculum Completion'!$CZ$4:$CZ$38,'Status of Curriculum Completion'!$CP$4:$CP$38,"CIC China",'Status of Curriculum Completion'!$CT$4:$CT$38,"Tentative")+SUMIFS('Status of Curriculum Completion'!$DM$4:$DM$38,'Status of Curriculum Completion'!$DC$4:$DC$38,"CIC China",'Status of Curriculum Completion'!$DG$4:$DG$38,"Tentative")</f>
        <v>0</v>
      </c>
      <c r="Z6" s="61">
        <f>SUMIFS('Status of Curriculum Completion'!$CM$4:$CM$38,'Status of Curriculum Completion'!$CC$4:$CC$38,"CIC China",'Status of Curriculum Completion'!$CH$4:$CH$38,"Complete")+SUMIFS('Status of Curriculum Completion'!$CZ$4:$CZ$38,'Status of Curriculum Completion'!$CP$4:$CP$38,"CIC China",'Status of Curriculum Completion'!$CU$4:$CU$38,"Complete")+SUMIFS('Status of Curriculum Completion'!$DM$4:$DM$38,'Status of Curriculum Completion'!$DC$4:$DC$38,"CIC China",'Status of Curriculum Completion'!$DH$4:$DH$38,"Complete")</f>
        <v>16</v>
      </c>
      <c r="AA6" s="61">
        <f>SUMIFS('Status of Curriculum Completion'!$CM$4:$CM$38,'Status of Curriculum Completion'!$CC$4:$CC$38,"CIC China",'Status of Curriculum Completion'!$CH$4:$CH$38,"In Progress")+SUMIFS('Status of Curriculum Completion'!$CZ$4:$CZ$38,'Status of Curriculum Completion'!$CP$4:$CP$38,"CIC China",'Status of Curriculum Completion'!$CU$4:$CU$38,"In Progress")+SUMIFS('Status of Curriculum Completion'!$DM$4:$DM$38,'Status of Curriculum Completion'!$DC$4:$DC$38,"CIC China",'Status of Curriculum Completion'!$DH$4:$DH$38,"In Progress")</f>
        <v>0</v>
      </c>
      <c r="AB6" s="61">
        <f>SUMIFS('Status of Curriculum Completion'!$CM$4:$CM$38,'Status of Curriculum Completion'!$CC$4:$CC$38,"CIC China",'Status of Curriculum Completion'!$CH$4:$CH$38,"Planned")+SUMIFS('Status of Curriculum Completion'!$CZ$4:$CZ$38,'Status of Curriculum Completion'!$CP$4:$CP$38,"CIC China",'Status of Curriculum Completion'!$CU$4:$CU$38,"Planned")+SUMIFS('Status of Curriculum Completion'!$DM$4:$DM$38,'Status of Curriculum Completion'!$DC$4:$DC$38,"CIC China",'Status of Curriculum Completion'!$DH$4:$DH$38,"Planned")</f>
        <v>0</v>
      </c>
      <c r="AC6" s="61">
        <f>SUMIFS('Status of Curriculum Completion'!$CM$4:$CM$38,'Status of Curriculum Completion'!$CC$4:$CC$38,"CIC China",'Status of Curriculum Completion'!$CH$4:$CH$38,"Tentative")+SUMIFS('Status of Curriculum Completion'!$CZ$4:$CZ$38,'Status of Curriculum Completion'!$CP$4:$CP$38,"CIC China",'Status of Curriculum Completion'!$CU$4:$CU$38,"Tentative")+SUMIFS('Status of Curriculum Completion'!$DM$4:$DM$38,'Status of Curriculum Completion'!$DC$4:$DC$38,"CIC China",'Status of Curriculum Completion'!$DH$4:$DH$38,"Tentative")</f>
        <v>0</v>
      </c>
      <c r="AD6" s="61">
        <f>SUMIFS('Status of Curriculum Completion'!$CM$4:$CM$38,'Status of Curriculum Completion'!$CC$4:$CC$38,"CIC China",'Status of Curriculum Completion'!$CI$4:$CI$38,"Complete")+SUMIFS('Status of Curriculum Completion'!$CZ$4:$CZ$38,'Status of Curriculum Completion'!$CP$4:$CP$38,"CIC China",'Status of Curriculum Completion'!$CV$4:$CV$38,"Complete")+SUMIFS('Status of Curriculum Completion'!$DM$4:$DM$38,'Status of Curriculum Completion'!$DC$4:$DC$38,"CIC China",'Status of Curriculum Completion'!$DI$4:$DI$38,"Complete")</f>
        <v>16</v>
      </c>
      <c r="AE6" s="61">
        <f>SUMIFS('Status of Curriculum Completion'!$CM$4:$CM$38,'Status of Curriculum Completion'!$CC$4:$CC$38,"CIC China",'Status of Curriculum Completion'!$CI$4:$CI$38,"In Progress")+SUMIFS('Status of Curriculum Completion'!$CZ$4:$CZ$38,'Status of Curriculum Completion'!$CP$4:$CP$38,"CIC China",'Status of Curriculum Completion'!$CV$4:$CV$38,"In Progress")+SUMIFS('Status of Curriculum Completion'!$DM$4:$DM$38,'Status of Curriculum Completion'!$DC$4:$DC$38,"CIC China",'Status of Curriculum Completion'!$DI$4:$DI$38,"In Progress")</f>
        <v>0</v>
      </c>
      <c r="AF6" s="61">
        <f>SUMIFS('Status of Curriculum Completion'!$CM$4:$CM$38,'Status of Curriculum Completion'!$CC$4:$CC$38,"CIC China",'Status of Curriculum Completion'!$CI$4:$CI$38,"Planned")+SUMIFS('Status of Curriculum Completion'!$CZ$4:$CZ$38,'Status of Curriculum Completion'!$CP$4:$CP$38,"CIC China",'Status of Curriculum Completion'!$CV$4:$CV$38,"Planned")+SUMIFS('Status of Curriculum Completion'!$DM$4:$DM$38,'Status of Curriculum Completion'!$DC$4:$DC$38,"CIC China",'Status of Curriculum Completion'!$DI$4:$DI$38,"Planned")</f>
        <v>0</v>
      </c>
      <c r="AG6" s="61">
        <f>SUMIFS('Status of Curriculum Completion'!$CM$4:$CM$38,'Status of Curriculum Completion'!$CC$4:$CC$38,"CIC China",'Status of Curriculum Completion'!$CI$4:$CI$38,"Tentative")+SUMIFS('Status of Curriculum Completion'!$CZ$4:$CZ$38,'Status of Curriculum Completion'!$CP$4:$CP$38,"CIC China",'Status of Curriculum Completion'!$CV$4:$CV$38,"Tentative")+SUMIFS('Status of Curriculum Completion'!$DM$4:$DM$38,'Status of Curriculum Completion'!$DC$4:$DC$38,"CIC China",'Status of Curriculum Completion'!$DI$4:$DI$38,"Tentative")</f>
        <v>0</v>
      </c>
      <c r="AH6" s="62">
        <f>SUMIFS('Status of Curriculum Completion'!$DZ$4:$DZ$38,'Status of Curriculum Completion'!$DP$4:$DP$38,"CIC China",'Status of Curriculum Completion'!$DT$4:$DT$38,"Complete")+SUMIFS('Status of Curriculum Completion'!$EM$4:$EM$38,'Status of Curriculum Completion'!$EC$4:$EC$38,"CIC China",'Status of Curriculum Completion'!$EG$4:$EG$38,"Complete")+SUMIFS('Status of Curriculum Completion'!$EZ$4:$EZ$38,'Status of Curriculum Completion'!$EP$4:$EP$38,"CIC China",'Status of Curriculum Completion'!$ET$4:$ET$38,"Complete")</f>
        <v>150</v>
      </c>
      <c r="AI6" s="62">
        <f>SUMIFS('Status of Curriculum Completion'!$DZ$4:$DZ$38,'Status of Curriculum Completion'!$DP$4:$DP$38,"CIC China",'Status of Curriculum Completion'!$DT$4:$DT$38,"In Progress")+SUMIFS('Status of Curriculum Completion'!$EM$4:$EM$38,'Status of Curriculum Completion'!$EC$4:$EC$38,"CIC China",'Status of Curriculum Completion'!$EG$4:$EG$38,"In Progress")+SUMIFS('Status of Curriculum Completion'!$EZ$4:$EZ$38,'Status of Curriculum Completion'!$EP$4:$EP$38,"CIC China",'Status of Curriculum Completion'!$ET$4:$ET$38,"In Progress")</f>
        <v>0</v>
      </c>
      <c r="AJ6" s="62">
        <f>SUMIFS('Status of Curriculum Completion'!$DZ$4:$DZ$38,'Status of Curriculum Completion'!$DP$4:$DP$38,"CIC China",'Status of Curriculum Completion'!$DT$4:$DT$38,"Planned")+SUMIFS('Status of Curriculum Completion'!$EM$4:$EM$38,'Status of Curriculum Completion'!$EC$4:$EC$38,"CIC China",'Status of Curriculum Completion'!$EG$4:$EG$38,"Planned")+SUMIFS('Status of Curriculum Completion'!$EZ$4:$EZ$38,'Status of Curriculum Completion'!$EP$4:$EP$38,"CIC China",'Status of Curriculum Completion'!$ET$4:$ET$38,"Planned")</f>
        <v>0</v>
      </c>
      <c r="AK6" s="62">
        <f>SUMIFS('Status of Curriculum Completion'!$DZ$4:$DZ$38,'Status of Curriculum Completion'!$DP$4:$DP$38,"CIC China",'Status of Curriculum Completion'!$DT$4:$DT$38,"Tentative")+SUMIFS('Status of Curriculum Completion'!$EM$4:$EM$38,'Status of Curriculum Completion'!$EC$4:$EC$38,"CIC China",'Status of Curriculum Completion'!$EG$4:$EG$38,"Tentative")+SUMIFS('Status of Curriculum Completion'!$EZ$4:$EZ$38,'Status of Curriculum Completion'!$EP$4:$EP$38,"CIC China",'Status of Curriculum Completion'!$ET$4:$ET$38,"Tentative")</f>
        <v>0</v>
      </c>
      <c r="AL6" s="62">
        <f>SUMIFS('Status of Curriculum Completion'!$DZ$4:$DZ$38,'Status of Curriculum Completion'!$DP$4:$DP$38,"CIC China",'Status of Curriculum Completion'!$DU$4:$DU$38,"Complete")+SUMIFS('Status of Curriculum Completion'!$EM$4:$EM$38,'Status of Curriculum Completion'!$EC$4:$EC$38,"CIC China",'Status of Curriculum Completion'!$EH$4:$EH$38,"Complete")+SUMIFS('Status of Curriculum Completion'!$EZ$4:$EZ$38,'Status of Curriculum Completion'!$EP$4:$EP$38,"CIC China",'Status of Curriculum Completion'!$EU$4:$EU$38,"Complete")</f>
        <v>150</v>
      </c>
      <c r="AM6" s="62">
        <f>SUMIFS('Status of Curriculum Completion'!$DZ$4:$DZ$38,'Status of Curriculum Completion'!$DP$4:$DP$38,"CIC China",'Status of Curriculum Completion'!$DU$4:$DU$38,"In Progress")+SUMIFS('Status of Curriculum Completion'!$EM$4:$EM$38,'Status of Curriculum Completion'!$EC$4:$EC$38,"CIC China",'Status of Curriculum Completion'!$EH$4:$EH$38,"In Progress")+SUMIFS('Status of Curriculum Completion'!$EZ$4:$EZ$38,'Status of Curriculum Completion'!$EP$4:$EP$38,"CIC China",'Status of Curriculum Completion'!$EU$4:$EU$38,"In Progress")</f>
        <v>0</v>
      </c>
      <c r="AN6" s="62">
        <f>SUMIFS('Status of Curriculum Completion'!$DZ$4:$DZ$38,'Status of Curriculum Completion'!$DP$4:$DP$38,"CIC China",'Status of Curriculum Completion'!$DU$4:$DU$38,"Planned")+SUMIFS('Status of Curriculum Completion'!$EM$4:$EM$38,'Status of Curriculum Completion'!$EC$4:$EC$38,"CIC China",'Status of Curriculum Completion'!$EH$4:$EH$38,"Planned")+SUMIFS('Status of Curriculum Completion'!$EZ$4:$EZ$38,'Status of Curriculum Completion'!$EP$4:$EP$38,"CIC China",'Status of Curriculum Completion'!$EU$4:$EU$38,"Planned")</f>
        <v>0</v>
      </c>
      <c r="AO6" s="62">
        <f>SUMIFS('Status of Curriculum Completion'!$DZ$4:$DZ$38,'Status of Curriculum Completion'!$DP$4:$DP$38,"CIC China",'Status of Curriculum Completion'!$DU$4:$DU$38,"Tentative")+SUMIFS('Status of Curriculum Completion'!$EM$4:$EM$38,'Status of Curriculum Completion'!$EC$4:$EC$38,"CIC China",'Status of Curriculum Completion'!$EH$4:$EH$38,"Tentative")+SUMIFS('Status of Curriculum Completion'!$EZ$4:$EZ$38,'Status of Curriculum Completion'!$EP$4:$EP$38,"CIC China",'Status of Curriculum Completion'!$EU$4:$EU$38,"Tentative")</f>
        <v>0</v>
      </c>
      <c r="AP6" s="62">
        <f>SUMIFS('Status of Curriculum Completion'!$DZ$4:$DZ$38,'Status of Curriculum Completion'!$DP$4:$DP$38,"CIC China",'Status of Curriculum Completion'!$DV$4:$DV$38,"Complete")+SUMIFS('Status of Curriculum Completion'!$EM$4:$EM$38,'Status of Curriculum Completion'!$EC$4:$EC$38,"CIC China",'Status of Curriculum Completion'!$EI$4:$EI$38,"Complete")+SUMIFS('Status of Curriculum Completion'!$EZ$4:$EZ$38,'Status of Curriculum Completion'!$EP$4:$EP$38,"CIC China",'Status of Curriculum Completion'!$EV$4:$EV$38,"Complete")</f>
        <v>0</v>
      </c>
      <c r="AQ6" s="62">
        <f>SUMIFS('Status of Curriculum Completion'!$DZ$4:$DZ$38,'Status of Curriculum Completion'!$DP$4:$DP$38,"CIC China",'Status of Curriculum Completion'!$DV$4:$DV$38,"In Progress")+SUMIFS('Status of Curriculum Completion'!$EM$4:$EM$38,'Status of Curriculum Completion'!$EC$4:$EC$38,"CIC China",'Status of Curriculum Completion'!$EI$4:$EI$38,"In Progress")+SUMIFS('Status of Curriculum Completion'!$EZ$4:$EZ$38,'Status of Curriculum Completion'!$EP$4:$EP$38,"CIC China",'Status of Curriculum Completion'!$EV$4:$EV$38,"In Progress")</f>
        <v>0</v>
      </c>
      <c r="AR6" s="62">
        <f>SUMIFS('Status of Curriculum Completion'!$DZ$4:$DZ$38,'Status of Curriculum Completion'!$DP$4:$DP$38,"CIC China",'Status of Curriculum Completion'!$DV$4:$DV$38,"Planned")+SUMIFS('Status of Curriculum Completion'!$EM$4:$EM$38,'Status of Curriculum Completion'!$EC$4:$EC$38,"CIC China",'Status of Curriculum Completion'!$EI$4:$EI$38,"Planned")+SUMIFS('Status of Curriculum Completion'!$EZ$4:$EZ$38,'Status of Curriculum Completion'!$EP$4:$EP$38,"CIC China",'Status of Curriculum Completion'!$EV$4:$EV$38,"Planned")</f>
        <v>150</v>
      </c>
      <c r="AS6" s="62">
        <f>SUMIFS('Status of Curriculum Completion'!$DZ$4:$DZ$38,'Status of Curriculum Completion'!$DP$4:$DP$38,"CIC China",'Status of Curriculum Completion'!$DV$4:$DV$38,"Tentative")+SUMIFS('Status of Curriculum Completion'!$EM$4:$EM$38,'Status of Curriculum Completion'!$EC$4:$EC$38,"CIC China",'Status of Curriculum Completion'!$EI$4:$EI$38,"Tentative")+SUMIFS('Status of Curriculum Completion'!$EZ$4:$EZ$38,'Status of Curriculum Completion'!$EP$4:$EP$38,"CIC China",'Status of Curriculum Completion'!$EV$4:$EV$38,"Tentative")</f>
        <v>0</v>
      </c>
    </row>
    <row r="7" spans="1:45" ht="29.5" thickBot="1">
      <c r="A7" s="63" t="s">
        <v>1628</v>
      </c>
      <c r="B7" s="59">
        <f>SUMIFS('Status of Curriculum Completion'!M$4:M$38,'Status of Curriculum Completion'!C$4:C$38,"India",'Status of Curriculum Completion'!G$4:G$38,"Complete")+SUMIFS('Status of Curriculum Completion'!Z$4:Z$38,'Status of Curriculum Completion'!P$4:P$38,"India",'Status of Curriculum Completion'!T$4:T$38,"Complete")+SUMIFS('Status of Curriculum Completion'!AM$4:AM$38,'Status of Curriculum Completion'!AC$4:AC$38,"India",'Status of Curriculum Completion'!AG$4:AG$38,"Complete")</f>
        <v>623</v>
      </c>
      <c r="C7" s="59">
        <f>SUMIFS('Status of Curriculum Completion'!$M$4:$M$38,'Status of Curriculum Completion'!$C$4:$C$38,"India",'Status of Curriculum Completion'!$G$4:$G$38,"In progress")+SUMIFS('Status of Curriculum Completion'!$Z$4:$Z$38,'Status of Curriculum Completion'!$P$4:$P$38,"India",'Status of Curriculum Completion'!$T$4:$T$38,"In progress")+SUMIFS('Status of Curriculum Completion'!$AM$4:$AM$38,'Status of Curriculum Completion'!$AC$4:$AC$38,"India",'Status of Curriculum Completion'!$AG$4:$AG$38,"In progress")</f>
        <v>0</v>
      </c>
      <c r="D7" s="59">
        <f>SUMIFS('Status of Curriculum Completion'!$M$4:$M$38,'Status of Curriculum Completion'!$C$4:$C$38,"India",'Status of Curriculum Completion'!$G$4:$G$38,"Planned")+SUMIFS('Status of Curriculum Completion'!$Z$4:$Z$38,'Status of Curriculum Completion'!$P$4:$P$38,"India",'Status of Curriculum Completion'!$T$4:$T$38,"Planned")+SUMIFS('Status of Curriculum Completion'!$AM$4:$AM$38,'Status of Curriculum Completion'!$AC$4:$AC$38,"India",'Status of Curriculum Completion'!$AG$4:$AG$38,"Planned")</f>
        <v>0</v>
      </c>
      <c r="E7" s="59">
        <f>SUMIFS('Status of Curriculum Completion'!$M$4:$M$38,'Status of Curriculum Completion'!$C$4:$C$38,"India",'Status of Curriculum Completion'!$H$4:$H$38,"Complete")+SUMIFS('Status of Curriculum Completion'!$Z$4:$Z$38,'Status of Curriculum Completion'!$P$4:$P$38,"India",'Status of Curriculum Completion'!$U$4:$U$38,"Complete")+SUMIFS('Status of Curriculum Completion'!$AM$4:$AM$38,'Status of Curriculum Completion'!$AC$4:$AC$38,"India",'Status of Curriculum Completion'!$AH$4:$AH$38,"Complete")</f>
        <v>623</v>
      </c>
      <c r="F7" s="59">
        <f>SUMIFS('Status of Curriculum Completion'!$M$4:$M$38,'Status of Curriculum Completion'!$C$4:$C$38,"India",'Status of Curriculum Completion'!$H$4:$H$38,"In Progress")+SUMIFS('Status of Curriculum Completion'!$Z$4:$Z$38,'Status of Curriculum Completion'!$P$4:$P$38,"India",'Status of Curriculum Completion'!$U$4:$U$38,"In Progress")+SUMIFS('Status of Curriculum Completion'!$AM$4:$AM$38,'Status of Curriculum Completion'!$AC$4:$AC$38,"India",'Status of Curriculum Completion'!$AH$4:$AH$38,"In Progress")</f>
        <v>0</v>
      </c>
      <c r="G7" s="59">
        <f>SUMIFS('Status of Curriculum Completion'!$M$4:$M$38,'Status of Curriculum Completion'!$C$4:$C$38,"India",'Status of Curriculum Completion'!$H$4:$H$38,"Planned")+SUMIFS('Status of Curriculum Completion'!$Z$4:$Z$38,'Status of Curriculum Completion'!$P$4:$P$38,"India",'Status of Curriculum Completion'!$U$4:$U$38,"Planned")+SUMIFS('Status of Curriculum Completion'!$AM$4:$AM$38,'Status of Curriculum Completion'!$AC$4:$AC$38,"India",'Status of Curriculum Completion'!$AH$4:$AH$38,"Planned")</f>
        <v>0</v>
      </c>
      <c r="H7" s="59">
        <f>SUMIFS('Status of Curriculum Completion'!$M$4:$M$38,'Status of Curriculum Completion'!$C$4:$C$38,"India",'Status of Curriculum Completion'!$I$4:$I$38,"Complete")+SUMIFS('Status of Curriculum Completion'!$Z$4:$Z$38,'Status of Curriculum Completion'!$P$4:$P$38,"India",'Status of Curriculum Completion'!$V$4:$V$38,"Complete")+SUMIFS('Status of Curriculum Completion'!$AM$4:$AM$38,'Status of Curriculum Completion'!$AC$4:$AC$38,"India",'Status of Curriculum Completion'!$AI$4:$AI$38,"Complete")</f>
        <v>623</v>
      </c>
      <c r="I7" s="59">
        <f>SUMIFS('Status of Curriculum Completion'!$M$4:$M$38,'Status of Curriculum Completion'!$C$4:$C$38,"India",'Status of Curriculum Completion'!$I$4:$I$38,"In Progress")+SUMIFS('Status of Curriculum Completion'!$Z$4:$Z$38,'Status of Curriculum Completion'!$P$4:$P$38,"India",'Status of Curriculum Completion'!$V$4:$V$38,"In Progress")+SUMIFS('Status of Curriculum Completion'!$AM$4:$AM$38,'Status of Curriculum Completion'!$AC$4:$AC$38,"India",'Status of Curriculum Completion'!$AI$4:$AI$38,"In Progress")</f>
        <v>0</v>
      </c>
      <c r="J7" s="59">
        <f>SUMIFS('Status of Curriculum Completion'!$M$4:$M$38,'Status of Curriculum Completion'!$C$4:$C$38,"India",'Status of Curriculum Completion'!$I$4:$I$38,"Planned")+SUMIFS('Status of Curriculum Completion'!$Z$4:$Z$38,'Status of Curriculum Completion'!$P$4:$P$38,"India",'Status of Curriculum Completion'!$V$4:$V$38,"Planned")+SUMIFS('Status of Curriculum Completion'!$AM$4:$AM$38,'Status of Curriculum Completion'!$AC$4:$AC$38,"India",'Status of Curriculum Completion'!$AI$4:$AI$38,"Planned")</f>
        <v>0</v>
      </c>
      <c r="K7" s="60">
        <f>SUMIFS('Status of Curriculum Completion'!$AZ$4:$AZ$38,'Status of Curriculum Completion'!$AP$4:$AP$38,"India",'Status of Curriculum Completion'!$AT$4:$AT$38,"Complete")+SUMIFS('Status of Curriculum Completion'!$BM$4:$BM$38,'Status of Curriculum Completion'!$BC$4:$BC$38,"India",'Status of Curriculum Completion'!$BG$4:$BG$38,"Complete")+SUMIFS('Status of Curriculum Completion'!$BZ$4:$BZ$38,'Status of Curriculum Completion'!$BP$4:$BP$38,"India",'Status of Curriculum Completion'!$BT$4:$BT$38,"Complete")</f>
        <v>81</v>
      </c>
      <c r="L7" s="60">
        <f>SUMIFS('Status of Curriculum Completion'!$AZ$4:$AZ$38,'Status of Curriculum Completion'!$AP$4:$AP$38,"India",'Status of Curriculum Completion'!$AT$4:$AT$38,"In Progress")+SUMIFS('Status of Curriculum Completion'!$BM$4:$BM$38,'Status of Curriculum Completion'!$BC$4:$BC$38,"India",'Status of Curriculum Completion'!$BG$4:$BG$38,"In Progress")+SUMIFS('Status of Curriculum Completion'!$BZ$4:$BZ$38,'Status of Curriculum Completion'!$BP$4:$BP$38,"India",'Status of Curriculum Completion'!$BT$4:$BT$38,"In Progress")</f>
        <v>0</v>
      </c>
      <c r="M7" s="60">
        <f>SUMIFS('Status of Curriculum Completion'!$AZ$4:$AZ$38,'Status of Curriculum Completion'!$AP$4:$AP$38,"India",'Status of Curriculum Completion'!$AT$4:$AT$38,"Planned")+SUMIFS('Status of Curriculum Completion'!$BM$4:$BM$38,'Status of Curriculum Completion'!$BC$4:$BC$38,"India",'Status of Curriculum Completion'!$BG$4:$BG$38,"Planned")+SUMIFS('Status of Curriculum Completion'!$BZ$4:$BZ$38,'Status of Curriculum Completion'!$BP$4:$BP$38,"India",'Status of Curriculum Completion'!$BT$4:$BT$38,"Planned")</f>
        <v>0</v>
      </c>
      <c r="N7" s="60">
        <f>SUMIFS('Status of Curriculum Completion'!$AZ$4:$AZ$38,'Status of Curriculum Completion'!$AP$4:$AP$38,"India",'Status of Curriculum Completion'!$AU$4:$AU$38,"Complete")+SUMIFS('Status of Curriculum Completion'!$BM$4:$BM$38,'Status of Curriculum Completion'!$BC$4:$BC$38,"India",'Status of Curriculum Completion'!$BH$4:$BH$38,"Complete")+SUMIFS('Status of Curriculum Completion'!$BZ$4:$BZ$38,'Status of Curriculum Completion'!$BP$4:$BP$38,"India",'Status of Curriculum Completion'!$BU$4:$BU$38,"Complete")</f>
        <v>81</v>
      </c>
      <c r="O7" s="60">
        <f>SUMIFS('Status of Curriculum Completion'!$AZ$4:$AZ$38,'Status of Curriculum Completion'!$AP$4:$AP$38,"India",'Status of Curriculum Completion'!$AU$4:$AU$38,"In Progress")+SUMIFS('Status of Curriculum Completion'!$BM$4:$BM$38,'Status of Curriculum Completion'!$BC$4:$BC$38,"India",'Status of Curriculum Completion'!$BH$4:$BH$38,"In Progress")+SUMIFS('Status of Curriculum Completion'!$BZ$4:$BZ$38,'Status of Curriculum Completion'!$BP$4:$BP$38,"India",'Status of Curriculum Completion'!$BU$4:$BU$38,"In Progress")</f>
        <v>0</v>
      </c>
      <c r="P7" s="60">
        <f>SUMIFS('Status of Curriculum Completion'!$AZ$4:$AZ$38,'Status of Curriculum Completion'!$AP$4:$AP$38,"India",'Status of Curriculum Completion'!$AU$4:$AU$38,"Planned")+SUMIFS('Status of Curriculum Completion'!$BM$4:$BM$38,'Status of Curriculum Completion'!$BC$4:$BC$38,"India",'Status of Curriculum Completion'!$BH$4:$BH$38,"Planned")+SUMIFS('Status of Curriculum Completion'!$BZ$4:$BZ$38,'Status of Curriculum Completion'!$BP$4:$BP$38,"India",'Status of Curriculum Completion'!$BU$4:$BU$38,"Planned")</f>
        <v>0</v>
      </c>
      <c r="Q7" s="60">
        <f>SUMIFS('Status of Curriculum Completion'!$AZ$4:$AZ$38,'Status of Curriculum Completion'!$AP$4:$AP$38,"India",'Status of Curriculum Completion'!$AV$4:$AV$38,"Complete")+SUMIFS('Status of Curriculum Completion'!$BM$4:$BM$38,'Status of Curriculum Completion'!$BC$4:$BC$38,"India",'Status of Curriculum Completion'!$BI$4:$BI$38,"Complete")+SUMIFS('Status of Curriculum Completion'!$BZ$4:$BZ$38,'Status of Curriculum Completion'!$BP$4:$BP$38,"India",'Status of Curriculum Completion'!$BV$4:$BV$38,"Complete")</f>
        <v>81</v>
      </c>
      <c r="R7" s="60">
        <f>SUMIFS('Status of Curriculum Completion'!$AZ$4:$AZ$38,'Status of Curriculum Completion'!$AP$4:$AP$38,"India",'Status of Curriculum Completion'!$AV$4:$AV$38,"In Progress")+SUMIFS('Status of Curriculum Completion'!$BM$4:$BM$38,'Status of Curriculum Completion'!$BC$4:$BC$38,"India",'Status of Curriculum Completion'!$BI$4:$BI$38,"In Progress")+SUMIFS('Status of Curriculum Completion'!$BZ$4:$BZ$38,'Status of Curriculum Completion'!$BP$4:$BP$38,"India",'Status of Curriculum Completion'!$BV$4:$BV$38,"In Progress")</f>
        <v>0</v>
      </c>
      <c r="S7" s="60">
        <f>SUMIFS('Status of Curriculum Completion'!$AZ$4:$AZ$38,'Status of Curriculum Completion'!$AP$4:$AP$38,"India",'Status of Curriculum Completion'!$AV$4:$AV$38,"Planned")+SUMIFS('Status of Curriculum Completion'!$BM$4:$BM$38,'Status of Curriculum Completion'!$BC$4:$BC$38,"India",'Status of Curriculum Completion'!$BI$4:$BI$38,"Planned")+SUMIFS('Status of Curriculum Completion'!$BZ$4:$BZ$38,'Status of Curriculum Completion'!$BP$4:$BP$38,"India",'Status of Curriculum Completion'!$BV$4:$BV$38,"Planned")</f>
        <v>0</v>
      </c>
      <c r="U7" s="63" t="s">
        <v>1628</v>
      </c>
      <c r="V7" s="61">
        <f>SUMIFS('Status of Curriculum Completion'!$CM$4:$CM$38,'Status of Curriculum Completion'!$CC$4:$CC$38,"India",'Status of Curriculum Completion'!$CG$4:$CG$38,"Complete")+SUMIFS('Status of Curriculum Completion'!$CZ$4:$CZ$38,'Status of Curriculum Completion'!$CP$4:$CP$38,"India",'Status of Curriculum Completion'!$CT$4:$CT$38,"Complete")+SUMIFS('Status of Curriculum Completion'!$DM$4:$DM$38,'Status of Curriculum Completion'!$DC$4:$DC$38,"India",'Status of Curriculum Completion'!$DG$4:$DG$38,"Complete")</f>
        <v>162</v>
      </c>
      <c r="W7" s="61">
        <f>SUMIFS('Status of Curriculum Completion'!$CM$4:$CM$38,'Status of Curriculum Completion'!$CC$4:$CC$38,"India",'Status of Curriculum Completion'!$CG$4:$CG$38,"In Progress")+SUMIFS('Status of Curriculum Completion'!$CZ$4:$CZ$38,'Status of Curriculum Completion'!$CP$4:$CP$38,"India",'Status of Curriculum Completion'!$CT$4:$CT$38,"In Progress")+SUMIFS('Status of Curriculum Completion'!$DM$4:$DM$38,'Status of Curriculum Completion'!$DC$4:$DC$38,"India",'Status of Curriculum Completion'!$DG$4:$DG$38,"In Progress")</f>
        <v>0</v>
      </c>
      <c r="X7" s="61">
        <f>SUMIFS('Status of Curriculum Completion'!$CM$4:$CM$38,'Status of Curriculum Completion'!$CC$4:$CC$38,"India",'Status of Curriculum Completion'!$CG$4:$CG$38,"Planned")+SUMIFS('Status of Curriculum Completion'!$CZ$4:$CZ$38,'Status of Curriculum Completion'!$CP$4:$CP$38,"India",'Status of Curriculum Completion'!$CT$4:$CT$38,"Planned")+SUMIFS('Status of Curriculum Completion'!$DM$4:$DM$38,'Status of Curriculum Completion'!$DC$4:$DC$38,"India",'Status of Curriculum Completion'!$DG$4:$DG$38,"Planned")</f>
        <v>0</v>
      </c>
      <c r="Y7" s="61">
        <f>SUMIFS('Status of Curriculum Completion'!$CM$4:$CM$38,'Status of Curriculum Completion'!$CC$4:$CC$38,"India",'Status of Curriculum Completion'!$CG$4:$CG$38,"Tentative")+SUMIFS('Status of Curriculum Completion'!$CZ$4:$CZ$38,'Status of Curriculum Completion'!$CP$4:$CP$38,"India",'Status of Curriculum Completion'!$CT$4:$CT$38,"Tentative")+SUMIFS('Status of Curriculum Completion'!$DM$4:$DM$38,'Status of Curriculum Completion'!$DC$4:$DC$38,"India",'Status of Curriculum Completion'!$DG$4:$DG$38,"Tentative")</f>
        <v>0</v>
      </c>
      <c r="Z7" s="61">
        <f>SUMIFS('Status of Curriculum Completion'!$CM$4:$CM$38,'Status of Curriculum Completion'!$CC$4:$CC$38,"India",'Status of Curriculum Completion'!$CH$4:$CH$38,"Complete")+SUMIFS('Status of Curriculum Completion'!$CZ$4:$CZ$38,'Status of Curriculum Completion'!$CP$4:$CP$38,"India",'Status of Curriculum Completion'!$CU$4:$CU$38,"Complete")+SUMIFS('Status of Curriculum Completion'!$DM$4:$DM$38,'Status of Curriculum Completion'!$DC$4:$DC$38,"India",'Status of Curriculum Completion'!$DH$4:$DH$38,"Complete")</f>
        <v>162</v>
      </c>
      <c r="AA7" s="61">
        <f>SUMIFS('Status of Curriculum Completion'!$CM$4:$CM$38,'Status of Curriculum Completion'!$CC$4:$CC$38,"India",'Status of Curriculum Completion'!$CH$4:$CH$38,"In Progress")+SUMIFS('Status of Curriculum Completion'!$CZ$4:$CZ$38,'Status of Curriculum Completion'!$CP$4:$CP$38,"India",'Status of Curriculum Completion'!$CU$4:$CU$38,"In Progress")+SUMIFS('Status of Curriculum Completion'!$DM$4:$DM$38,'Status of Curriculum Completion'!$DC$4:$DC$38,"India",'Status of Curriculum Completion'!$DH$4:$DH$38,"In Progress")</f>
        <v>0</v>
      </c>
      <c r="AB7" s="61">
        <f>SUMIFS('Status of Curriculum Completion'!$CM$4:$CM$38,'Status of Curriculum Completion'!$CC$4:$CC$38,"India",'Status of Curriculum Completion'!$CH$4:$CH$38,"Planned")+SUMIFS('Status of Curriculum Completion'!$CZ$4:$CZ$38,'Status of Curriculum Completion'!$CP$4:$CP$38,"India",'Status of Curriculum Completion'!$CU$4:$CU$38,"Planned")+SUMIFS('Status of Curriculum Completion'!$DM$4:$DM$38,'Status of Curriculum Completion'!$DC$4:$DC$38,"India",'Status of Curriculum Completion'!$DH$4:$DH$38,"Planned")</f>
        <v>0</v>
      </c>
      <c r="AC7" s="61">
        <f>SUMIFS('Status of Curriculum Completion'!$CM$4:$CM$38,'Status of Curriculum Completion'!$CC$4:$CC$38,"India",'Status of Curriculum Completion'!$CH$4:$CH$38,"Tentative")+SUMIFS('Status of Curriculum Completion'!$CZ$4:$CZ$38,'Status of Curriculum Completion'!$CP$4:$CP$38,"India",'Status of Curriculum Completion'!$CU$4:$CU$38,"Tentative")+SUMIFS('Status of Curriculum Completion'!$DM$4:$DM$38,'Status of Curriculum Completion'!$DC$4:$DC$38,"India",'Status of Curriculum Completion'!$DH$4:$DH$38,"Tentative")</f>
        <v>0</v>
      </c>
      <c r="AD7" s="61">
        <f>SUMIFS('Status of Curriculum Completion'!$CM$4:$CM$38,'Status of Curriculum Completion'!$CC$4:$CC$38,"India",'Status of Curriculum Completion'!$CI$4:$CI$38,"Complete")+SUMIFS('Status of Curriculum Completion'!$CZ$4:$CZ$38,'Status of Curriculum Completion'!$CP$4:$CP$38,"India",'Status of Curriculum Completion'!$CV$4:$CV$38,"Complete")+SUMIFS('Status of Curriculum Completion'!$DM$4:$DM$38,'Status of Curriculum Completion'!$DC$4:$DC$38,"India",'Status of Curriculum Completion'!$DI$4:$DI$38,"Complete")</f>
        <v>0</v>
      </c>
      <c r="AE7" s="61">
        <f>SUMIFS('Status of Curriculum Completion'!$CM$4:$CM$38,'Status of Curriculum Completion'!$CC$4:$CC$38,"India",'Status of Curriculum Completion'!$CI$4:$CI$38,"In Progress")+SUMIFS('Status of Curriculum Completion'!$CZ$4:$CZ$38,'Status of Curriculum Completion'!$CP$4:$CP$38,"India",'Status of Curriculum Completion'!$CV$4:$CV$38,"In Progress")+SUMIFS('Status of Curriculum Completion'!$DM$4:$DM$38,'Status of Curriculum Completion'!$DC$4:$DC$38,"India",'Status of Curriculum Completion'!$DI$4:$DI$38,"In Progress")</f>
        <v>162</v>
      </c>
      <c r="AF7" s="61">
        <f>SUMIFS('Status of Curriculum Completion'!$CM$4:$CM$38,'Status of Curriculum Completion'!$CC$4:$CC$38,"India",'Status of Curriculum Completion'!$CI$4:$CI$38,"Planned")+SUMIFS('Status of Curriculum Completion'!$CZ$4:$CZ$38,'Status of Curriculum Completion'!$CP$4:$CP$38,"India",'Status of Curriculum Completion'!$CV$4:$CV$38,"Planned")+SUMIFS('Status of Curriculum Completion'!$DM$4:$DM$38,'Status of Curriculum Completion'!$DC$4:$DC$38,"India",'Status of Curriculum Completion'!$DI$4:$DI$38,"Planned")</f>
        <v>0</v>
      </c>
      <c r="AG7" s="61">
        <f>SUMIFS('Status of Curriculum Completion'!$CM$4:$CM$38,'Status of Curriculum Completion'!$CC$4:$CC$38,"India",'Status of Curriculum Completion'!$CI$4:$CI$38,"Tentative")+SUMIFS('Status of Curriculum Completion'!$CZ$4:$CZ$38,'Status of Curriculum Completion'!$CP$4:$CP$38,"India",'Status of Curriculum Completion'!$CV$4:$CV$38,"Tentative")+SUMIFS('Status of Curriculum Completion'!$DM$4:$DM$38,'Status of Curriculum Completion'!$DC$4:$DC$38,"India",'Status of Curriculum Completion'!$DI$4:$DI$38,"Tentative")</f>
        <v>0</v>
      </c>
      <c r="AH7" s="62">
        <f>SUMIFS('Status of Curriculum Completion'!$DZ$4:$DZ$38,'Status of Curriculum Completion'!$DP$4:$DP$38,"India",'Status of Curriculum Completion'!$DT$4:$DT$38,"Complete")+SUMIFS('Status of Curriculum Completion'!$EM$4:$EM$38,'Status of Curriculum Completion'!$EC$4:$EC$38,"India",'Status of Curriculum Completion'!$EG$4:$EG$38,"Complete")+SUMIFS('Status of Curriculum Completion'!$EZ$4:$EZ$38,'Status of Curriculum Completion'!$EP$4:$EP$38,"India",'Status of Curriculum Completion'!$ET$4:$ET$38,"Complete")</f>
        <v>168</v>
      </c>
      <c r="AI7" s="62">
        <f>SUMIFS('Status of Curriculum Completion'!$DZ$4:$DZ$38,'Status of Curriculum Completion'!$DP$4:$DP$38,"India",'Status of Curriculum Completion'!$DT$4:$DT$38,"In Progress")+SUMIFS('Status of Curriculum Completion'!$EM$4:$EM$38,'Status of Curriculum Completion'!$EC$4:$EC$38,"India",'Status of Curriculum Completion'!$EG$4:$EG$38,"In Progress")+SUMIFS('Status of Curriculum Completion'!$EZ$4:$EZ$38,'Status of Curriculum Completion'!$EP$4:$EP$38,"India",'Status of Curriculum Completion'!$ET$4:$ET$38,"In Progress")</f>
        <v>0</v>
      </c>
      <c r="AJ7" s="62">
        <f>SUMIFS('Status of Curriculum Completion'!$DZ$4:$DZ$38,'Status of Curriculum Completion'!$DP$4:$DP$38,"India",'Status of Curriculum Completion'!$DT$4:$DT$38,"Planned")+SUMIFS('Status of Curriculum Completion'!$EM$4:$EM$38,'Status of Curriculum Completion'!$EC$4:$EC$38,"India",'Status of Curriculum Completion'!$EG$4:$EG$38,"Planned")+SUMIFS('Status of Curriculum Completion'!$EZ$4:$EZ$38,'Status of Curriculum Completion'!$EP$4:$EP$38,"India",'Status of Curriculum Completion'!$ET$4:$ET$38,"Planned")</f>
        <v>0</v>
      </c>
      <c r="AK7" s="62">
        <f>SUMIFS('Status of Curriculum Completion'!$DZ$4:$DZ$38,'Status of Curriculum Completion'!$DP$4:$DP$38,"India",'Status of Curriculum Completion'!$DT$4:$DT$38,"Tentative")+SUMIFS('Status of Curriculum Completion'!$EM$4:$EM$38,'Status of Curriculum Completion'!$EC$4:$EC$38,"India",'Status of Curriculum Completion'!$EG$4:$EG$38,"Tentative")+SUMIFS('Status of Curriculum Completion'!$EZ$4:$EZ$38,'Status of Curriculum Completion'!$EP$4:$EP$38,"India",'Status of Curriculum Completion'!$ET$4:$ET$38,"Tentative")</f>
        <v>0</v>
      </c>
      <c r="AL7" s="62">
        <f>SUMIFS('Status of Curriculum Completion'!$DZ$4:$DZ$38,'Status of Curriculum Completion'!$DP$4:$DP$38,"India",'Status of Curriculum Completion'!$DU$4:$DU$38,"Complete")+SUMIFS('Status of Curriculum Completion'!$EM$4:$EM$38,'Status of Curriculum Completion'!$EC$4:$EC$38,"India",'Status of Curriculum Completion'!$EH$4:$EH$38,"Complete")+SUMIFS('Status of Curriculum Completion'!$EZ$4:$EZ$38,'Status of Curriculum Completion'!$EP$4:$EP$38,"India",'Status of Curriculum Completion'!$EU$4:$EU$38,"Complete")</f>
        <v>168</v>
      </c>
      <c r="AM7" s="62">
        <f>SUMIFS('Status of Curriculum Completion'!$DZ$4:$DZ$38,'Status of Curriculum Completion'!$DP$4:$DP$38,"India",'Status of Curriculum Completion'!$DU$4:$DU$38,"In Progress")+SUMIFS('Status of Curriculum Completion'!$EM$4:$EM$38,'Status of Curriculum Completion'!$EC$4:$EC$38,"India",'Status of Curriculum Completion'!$EH$4:$EH$38,"In Progress")+SUMIFS('Status of Curriculum Completion'!$EZ$4:$EZ$38,'Status of Curriculum Completion'!$EP$4:$EP$38,"India",'Status of Curriculum Completion'!$EU$4:$EU$38,"In Progress")</f>
        <v>0</v>
      </c>
      <c r="AN7" s="62">
        <f>SUMIFS('Status of Curriculum Completion'!$DZ$4:$DZ$38,'Status of Curriculum Completion'!$DP$4:$DP$38,"India",'Status of Curriculum Completion'!$DU$4:$DU$38,"Planned")+SUMIFS('Status of Curriculum Completion'!$EM$4:$EM$38,'Status of Curriculum Completion'!$EC$4:$EC$38,"India",'Status of Curriculum Completion'!$EH$4:$EH$38,"Planned")+SUMIFS('Status of Curriculum Completion'!$EZ$4:$EZ$38,'Status of Curriculum Completion'!$EP$4:$EP$38,"India",'Status of Curriculum Completion'!$EU$4:$EU$38,"Planned")</f>
        <v>0</v>
      </c>
      <c r="AO7" s="62">
        <f>SUMIFS('Status of Curriculum Completion'!$DZ$4:$DZ$38,'Status of Curriculum Completion'!$DP$4:$DP$38,"India",'Status of Curriculum Completion'!$DU$4:$DU$38,"Tentative")+SUMIFS('Status of Curriculum Completion'!$EM$4:$EM$38,'Status of Curriculum Completion'!$EC$4:$EC$38,"India",'Status of Curriculum Completion'!$EH$4:$EH$38,"Tentative")+SUMIFS('Status of Curriculum Completion'!$EZ$4:$EZ$38,'Status of Curriculum Completion'!$EP$4:$EP$38,"India",'Status of Curriculum Completion'!$EU$4:$EU$38,"Tentative")</f>
        <v>0</v>
      </c>
      <c r="AP7" s="62">
        <f>SUMIFS('Status of Curriculum Completion'!$DZ$4:$DZ$38,'Status of Curriculum Completion'!$DP$4:$DP$38,"India",'Status of Curriculum Completion'!$DV$4:$DV$38,"Complete")+SUMIFS('Status of Curriculum Completion'!$EM$4:$EM$38,'Status of Curriculum Completion'!$EC$4:$EC$38,"India",'Status of Curriculum Completion'!$EI$4:$EI$38,"Complete")+SUMIFS('Status of Curriculum Completion'!$EZ$4:$EZ$38,'Status of Curriculum Completion'!$EP$4:$EP$38,"India",'Status of Curriculum Completion'!$EV$4:$EV$38,"Complete")</f>
        <v>0</v>
      </c>
      <c r="AQ7" s="62">
        <f>SUMIFS('Status of Curriculum Completion'!$DZ$4:$DZ$38,'Status of Curriculum Completion'!$DP$4:$DP$38,"India",'Status of Curriculum Completion'!$DV$4:$DV$38,"In Progress")+SUMIFS('Status of Curriculum Completion'!$EM$4:$EM$38,'Status of Curriculum Completion'!$EC$4:$EC$38,"India",'Status of Curriculum Completion'!$EI$4:$EI$38,"In Progress")+SUMIFS('Status of Curriculum Completion'!$EZ$4:$EZ$38,'Status of Curriculum Completion'!$EP$4:$EP$38,"India",'Status of Curriculum Completion'!$EV$4:$EV$38,"In Progress")</f>
        <v>0</v>
      </c>
      <c r="AR7" s="62">
        <f>SUMIFS('Status of Curriculum Completion'!$DZ$4:$DZ$38,'Status of Curriculum Completion'!$DP$4:$DP$38,"India",'Status of Curriculum Completion'!$DV$4:$DV$38,"Planned")+SUMIFS('Status of Curriculum Completion'!$EM$4:$EM$38,'Status of Curriculum Completion'!$EC$4:$EC$38,"India",'Status of Curriculum Completion'!$EI$4:$EI$38,"Planned")+SUMIFS('Status of Curriculum Completion'!$EZ$4:$EZ$38,'Status of Curriculum Completion'!$EP$4:$EP$38,"India",'Status of Curriculum Completion'!$EV$4:$EV$38,"Planned")</f>
        <v>168</v>
      </c>
      <c r="AS7" s="62">
        <f>SUMIFS('Status of Curriculum Completion'!$DZ$4:$DZ$38,'Status of Curriculum Completion'!$DP$4:$DP$38,"India",'Status of Curriculum Completion'!$DV$4:$DV$38,"Tentative")+SUMIFS('Status of Curriculum Completion'!$EM$4:$EM$38,'Status of Curriculum Completion'!$EC$4:$EC$38,"India",'Status of Curriculum Completion'!$EI$4:$EI$38,"Tentative")+SUMIFS('Status of Curriculum Completion'!$EZ$4:$EZ$38,'Status of Curriculum Completion'!$EP$4:$EP$38,"India",'Status of Curriculum Completion'!$EV$4:$EV$38,"Tentative")</f>
        <v>0</v>
      </c>
    </row>
    <row r="8" spans="1:45" ht="15" thickBot="1">
      <c r="A8" s="63" t="s">
        <v>1629</v>
      </c>
      <c r="B8" s="59">
        <f>SUMIFS('Status of Curriculum Completion'!M$4:M$38,'Status of Curriculum Completion'!C$4:C$38,"LA",'Status of Curriculum Completion'!G$4:G$38,"Complete")+SUMIFS('Status of Curriculum Completion'!Z$4:Z$38,'Status of Curriculum Completion'!P$4:P$38,"LA",'Status of Curriculum Completion'!T$4:T$38,"Complete")+SUMIFS('Status of Curriculum Completion'!AM$4:AM$38,'Status of Curriculum Completion'!AC$4:AC$38,"LA",'Status of Curriculum Completion'!AG$4:AG$38,"Complete")</f>
        <v>0</v>
      </c>
      <c r="C8" s="59">
        <f>SUMIFS('Status of Curriculum Completion'!$M$4:$M$38,'Status of Curriculum Completion'!$C$4:$C$38,"LA",'Status of Curriculum Completion'!$G$4:$G$38,"In progress")+SUMIFS('Status of Curriculum Completion'!$Z$4:$Z$38,'Status of Curriculum Completion'!$P$4:$P$38,"LA",'Status of Curriculum Completion'!$T$4:$T$38,"In progress")+SUMIFS('Status of Curriculum Completion'!$AM$4:$AM$38,'Status of Curriculum Completion'!$AC$4:$AC$38,"LA",'Status of Curriculum Completion'!$AG$4:$AG$38,"In progress")</f>
        <v>0</v>
      </c>
      <c r="D8" s="59">
        <f>SUMIFS('Status of Curriculum Completion'!$M$4:$M$38,'Status of Curriculum Completion'!$C$4:$C$38,"LA",'Status of Curriculum Completion'!$G$4:$G$38,"Planned")+SUMIFS('Status of Curriculum Completion'!$Z$4:$Z$38,'Status of Curriculum Completion'!$P$4:$P$38,"LA",'Status of Curriculum Completion'!$T$4:$T$38,"Planned")+SUMIFS('Status of Curriculum Completion'!$AM$4:$AM$38,'Status of Curriculum Completion'!$AC$4:$AC$38,"LA",'Status of Curriculum Completion'!$AG$4:$AG$38,"Planned")</f>
        <v>0</v>
      </c>
      <c r="E8" s="59">
        <f>SUMIFS('Status of Curriculum Completion'!$M$4:$M$38,'Status of Curriculum Completion'!$C$4:$C$38,"LA",'Status of Curriculum Completion'!$H$4:$H$38,"Complete")+SUMIFS('Status of Curriculum Completion'!$Z$4:$Z$38,'Status of Curriculum Completion'!$P$4:$P$38,"LA",'Status of Curriculum Completion'!$U$4:$U$38,"Complete")+SUMIFS('Status of Curriculum Completion'!$AM$4:$AM$38,'Status of Curriculum Completion'!$AC$4:$AC$38,"LA",'Status of Curriculum Completion'!$AH$4:$AH$38,"Complete")</f>
        <v>0</v>
      </c>
      <c r="F8" s="59">
        <f>SUMIFS('Status of Curriculum Completion'!$M$4:$M$38,'Status of Curriculum Completion'!$C$4:$C$38,"LA",'Status of Curriculum Completion'!$H$4:$H$38,"In Progress")+SUMIFS('Status of Curriculum Completion'!$Z$4:$Z$38,'Status of Curriculum Completion'!$P$4:$P$38,"LA",'Status of Curriculum Completion'!$U$4:$U$38,"In Progress")+SUMIFS('Status of Curriculum Completion'!$AM$4:$AM$38,'Status of Curriculum Completion'!$AC$4:$AC$38,"LA",'Status of Curriculum Completion'!$AH$4:$AH$38,"In Progress")</f>
        <v>0</v>
      </c>
      <c r="G8" s="59">
        <f>SUMIFS('Status of Curriculum Completion'!$M$4:$M$38,'Status of Curriculum Completion'!$C$4:$C$38,"LA",'Status of Curriculum Completion'!$H$4:$H$38,"Planned")+SUMIFS('Status of Curriculum Completion'!$Z$4:$Z$38,'Status of Curriculum Completion'!$P$4:$P$38,"LA",'Status of Curriculum Completion'!$U$4:$U$38,"Planned")+SUMIFS('Status of Curriculum Completion'!$AM$4:$AM$38,'Status of Curriculum Completion'!$AC$4:$AC$38,"LA",'Status of Curriculum Completion'!$AH$4:$AH$38,"Planned")</f>
        <v>0</v>
      </c>
      <c r="H8" s="59">
        <f>SUMIFS('Status of Curriculum Completion'!$M$4:$M$38,'Status of Curriculum Completion'!$C$4:$C$38,"LA",'Status of Curriculum Completion'!$I$4:$I$38,"Complete")+SUMIFS('Status of Curriculum Completion'!$Z$4:$Z$38,'Status of Curriculum Completion'!$P$4:$P$38,"LA",'Status of Curriculum Completion'!$V$4:$V$38,"Complete")+SUMIFS('Status of Curriculum Completion'!$AM$4:$AM$38,'Status of Curriculum Completion'!$AC$4:$AC$38,"LA",'Status of Curriculum Completion'!$AI$4:$AI$38,"Complete")</f>
        <v>0</v>
      </c>
      <c r="I8" s="59">
        <f>SUMIFS('Status of Curriculum Completion'!$M$4:$M$38,'Status of Curriculum Completion'!$C$4:$C$38,"LA",'Status of Curriculum Completion'!$I$4:$I$38,"In Progress")+SUMIFS('Status of Curriculum Completion'!$Z$4:$Z$38,'Status of Curriculum Completion'!$P$4:$P$38,"LA",'Status of Curriculum Completion'!$V$4:$V$38,"In Progress")+SUMIFS('Status of Curriculum Completion'!$AM$4:$AM$38,'Status of Curriculum Completion'!$AC$4:$AC$38,"LA",'Status of Curriculum Completion'!$AI$4:$AI$38,"In Progress")</f>
        <v>0</v>
      </c>
      <c r="J8" s="59">
        <f>SUMIFS('Status of Curriculum Completion'!$M$4:$M$38,'Status of Curriculum Completion'!$C$4:$C$38,"LA",'Status of Curriculum Completion'!$I$4:$I$38,"Planned")+SUMIFS('Status of Curriculum Completion'!$Z$4:$Z$38,'Status of Curriculum Completion'!$P$4:$P$38,"LA",'Status of Curriculum Completion'!$V$4:$V$38,"Planned")+SUMIFS('Status of Curriculum Completion'!$AM$4:$AM$38,'Status of Curriculum Completion'!$AC$4:$AC$38,"LA",'Status of Curriculum Completion'!$AI$4:$AI$38,"Planned")</f>
        <v>0</v>
      </c>
      <c r="K8" s="60">
        <f>SUMIFS('Status of Curriculum Completion'!$AZ$4:$AZ$38,'Status of Curriculum Completion'!$AP$4:$AP$38,"LA",'Status of Curriculum Completion'!$AT$4:$AT$38,"Complete")+SUMIFS('Status of Curriculum Completion'!$BM$4:$BM$38,'Status of Curriculum Completion'!$BC$4:$BC$38,"LA",'Status of Curriculum Completion'!$BG$4:$BG$38,"Complete")+SUMIFS('Status of Curriculum Completion'!$BZ$4:$BZ$38,'Status of Curriculum Completion'!$BP$4:$BP$38,"LA",'Status of Curriculum Completion'!$BT$4:$BT$38,"Complete")</f>
        <v>96</v>
      </c>
      <c r="L8" s="60">
        <f>SUMIFS('Status of Curriculum Completion'!$AZ$4:$AZ$38,'Status of Curriculum Completion'!$AP$4:$AP$38,"LA",'Status of Curriculum Completion'!$AT$4:$AT$38,"In Progress")+SUMIFS('Status of Curriculum Completion'!$BM$4:$BM$38,'Status of Curriculum Completion'!$BC$4:$BC$38,"LA",'Status of Curriculum Completion'!$BG$4:$BG$38,"In Progress")+SUMIFS('Status of Curriculum Completion'!$BZ$4:$BZ$38,'Status of Curriculum Completion'!$BP$4:$BP$38,"LA",'Status of Curriculum Completion'!$BT$4:$BT$38,"In Progress")</f>
        <v>0</v>
      </c>
      <c r="M8" s="60">
        <f>SUMIFS('Status of Curriculum Completion'!$AZ$4:$AZ$38,'Status of Curriculum Completion'!$AP$4:$AP$38,"LA",'Status of Curriculum Completion'!$AT$4:$AT$38,"Planned")+SUMIFS('Status of Curriculum Completion'!$BM$4:$BM$38,'Status of Curriculum Completion'!$BC$4:$BC$38,"LA",'Status of Curriculum Completion'!$BG$4:$BG$38,"Planned")+SUMIFS('Status of Curriculum Completion'!$BZ$4:$BZ$38,'Status of Curriculum Completion'!$BP$4:$BP$38,"LA",'Status of Curriculum Completion'!$BT$4:$BT$38,"Planned")</f>
        <v>0</v>
      </c>
      <c r="N8" s="60">
        <f>SUMIFS('Status of Curriculum Completion'!$AZ$4:$AZ$38,'Status of Curriculum Completion'!$AP$4:$AP$38,"LA",'Status of Curriculum Completion'!$AU$4:$AU$38,"Complete")+SUMIFS('Status of Curriculum Completion'!$BM$4:$BM$38,'Status of Curriculum Completion'!$BC$4:$BC$38,"LA",'Status of Curriculum Completion'!$BH$4:$BH$38,"Complete")+SUMIFS('Status of Curriculum Completion'!$BZ$4:$BZ$38,'Status of Curriculum Completion'!$BP$4:$BP$38,"LA",'Status of Curriculum Completion'!$BU$4:$BU$38,"Complete")</f>
        <v>96</v>
      </c>
      <c r="O8" s="60">
        <f>SUMIFS('Status of Curriculum Completion'!$AZ$4:$AZ$38,'Status of Curriculum Completion'!$AP$4:$AP$38,"LA",'Status of Curriculum Completion'!$AU$4:$AU$38,"In Progress")+SUMIFS('Status of Curriculum Completion'!$BM$4:$BM$38,'Status of Curriculum Completion'!$BC$4:$BC$38,"LA",'Status of Curriculum Completion'!$BH$4:$BH$38,"In Progress")+SUMIFS('Status of Curriculum Completion'!$BZ$4:$BZ$38,'Status of Curriculum Completion'!$BP$4:$BP$38,"LA",'Status of Curriculum Completion'!$BU$4:$BU$38,"In Progress")</f>
        <v>0</v>
      </c>
      <c r="P8" s="60">
        <f>SUMIFS('Status of Curriculum Completion'!$AZ$4:$AZ$38,'Status of Curriculum Completion'!$AP$4:$AP$38,"LA",'Status of Curriculum Completion'!$AU$4:$AU$38,"Planned")+SUMIFS('Status of Curriculum Completion'!$BM$4:$BM$38,'Status of Curriculum Completion'!$BC$4:$BC$38,"LA",'Status of Curriculum Completion'!$BH$4:$BH$38,"Planned")+SUMIFS('Status of Curriculum Completion'!$BZ$4:$BZ$38,'Status of Curriculum Completion'!$BP$4:$BP$38,"LA",'Status of Curriculum Completion'!$BU$4:$BU$38,"Planned")</f>
        <v>0</v>
      </c>
      <c r="Q8" s="60">
        <f>SUMIFS('Status of Curriculum Completion'!$AZ$4:$AZ$38,'Status of Curriculum Completion'!$AP$4:$AP$38,"LA",'Status of Curriculum Completion'!$AV$4:$AV$38,"Complete")+SUMIFS('Status of Curriculum Completion'!$BM$4:$BM$38,'Status of Curriculum Completion'!$BC$4:$BC$38,"LA",'Status of Curriculum Completion'!$BI$4:$BI$38,"Complete")+SUMIFS('Status of Curriculum Completion'!$BZ$4:$BZ$38,'Status of Curriculum Completion'!$BP$4:$BP$38,"LA",'Status of Curriculum Completion'!$BV$4:$BV$38,"Complete")</f>
        <v>96</v>
      </c>
      <c r="R8" s="60">
        <f>SUMIFS('Status of Curriculum Completion'!$AZ$4:$AZ$38,'Status of Curriculum Completion'!$AP$4:$AP$38,"LA",'Status of Curriculum Completion'!$AV$4:$AV$38,"In Progress")+SUMIFS('Status of Curriculum Completion'!$BM$4:$BM$38,'Status of Curriculum Completion'!$BC$4:$BC$38,"LA",'Status of Curriculum Completion'!$BI$4:$BI$38,"In Progress")+SUMIFS('Status of Curriculum Completion'!$BZ$4:$BZ$38,'Status of Curriculum Completion'!$BP$4:$BP$38,"LA",'Status of Curriculum Completion'!$BV$4:$BV$38,"In Progress")</f>
        <v>0</v>
      </c>
      <c r="S8" s="60">
        <f>SUMIFS('Status of Curriculum Completion'!$AZ$4:$AZ$38,'Status of Curriculum Completion'!$AP$4:$AP$38,"LA",'Status of Curriculum Completion'!$AV$4:$AV$38,"Planned")+SUMIFS('Status of Curriculum Completion'!$BM$4:$BM$38,'Status of Curriculum Completion'!$BC$4:$BC$38,"LA",'Status of Curriculum Completion'!$BI$4:$BI$38,"Planned")+SUMIFS('Status of Curriculum Completion'!$BZ$4:$BZ$38,'Status of Curriculum Completion'!$BP$4:$BP$38,"LA",'Status of Curriculum Completion'!$BV$4:$BV$38,"Planned")</f>
        <v>0</v>
      </c>
      <c r="U8" s="63" t="s">
        <v>1629</v>
      </c>
      <c r="V8" s="61">
        <f>SUMIFS('Status of Curriculum Completion'!$CM$4:$CM$38,'Status of Curriculum Completion'!$CC$4:$CC$38,"LA",'Status of Curriculum Completion'!$CG$4:$CG$38,"Complete")+SUMIFS('Status of Curriculum Completion'!$CZ$4:$CZ$38,'Status of Curriculum Completion'!$CP$4:$CP$38,"LA",'Status of Curriculum Completion'!$CT$4:$CT$38,"Complete")+SUMIFS('Status of Curriculum Completion'!$DM$4:$DM$38,'Status of Curriculum Completion'!$DC$4:$DC$38,"LA",'Status of Curriculum Completion'!$DG$4:$DG$38,"Complete")</f>
        <v>147</v>
      </c>
      <c r="W8" s="61">
        <f>SUMIFS('Status of Curriculum Completion'!$CM$4:$CM$38,'Status of Curriculum Completion'!$CC$4:$CC$38,"LA",'Status of Curriculum Completion'!$CG$4:$CG$38,"In Progress")+SUMIFS('Status of Curriculum Completion'!$CZ$4:$CZ$38,'Status of Curriculum Completion'!$CP$4:$CP$38,"LA",'Status of Curriculum Completion'!$CT$4:$CT$38,"In Progress")+SUMIFS('Status of Curriculum Completion'!$DM$4:$DM$38,'Status of Curriculum Completion'!$DC$4:$DC$38,"LA",'Status of Curriculum Completion'!$DG$4:$DG$38,"In Progress")</f>
        <v>0</v>
      </c>
      <c r="X8" s="61">
        <f>SUMIFS('Status of Curriculum Completion'!$CM$4:$CM$38,'Status of Curriculum Completion'!$CC$4:$CC$38,"LA",'Status of Curriculum Completion'!$CG$4:$CG$38,"Planned")+SUMIFS('Status of Curriculum Completion'!$CZ$4:$CZ$38,'Status of Curriculum Completion'!$CP$4:$CP$38,"LA",'Status of Curriculum Completion'!$CT$4:$CT$38,"Planned")+SUMIFS('Status of Curriculum Completion'!$DM$4:$DM$38,'Status of Curriculum Completion'!$DC$4:$DC$38,"LA",'Status of Curriculum Completion'!$DG$4:$DG$38,"Planned")</f>
        <v>0</v>
      </c>
      <c r="Y8" s="61">
        <f>SUMIFS('Status of Curriculum Completion'!$CM$4:$CM$38,'Status of Curriculum Completion'!$CC$4:$CC$38,"LA",'Status of Curriculum Completion'!$CG$4:$CG$38,"Tentative")+SUMIFS('Status of Curriculum Completion'!$CZ$4:$CZ$38,'Status of Curriculum Completion'!$CP$4:$CP$38,"LA",'Status of Curriculum Completion'!$CT$4:$CT$38,"Tentative")+SUMIFS('Status of Curriculum Completion'!$DM$4:$DM$38,'Status of Curriculum Completion'!$DC$4:$DC$38,"LA",'Status of Curriculum Completion'!$DG$4:$DG$38,"Tentative")</f>
        <v>0</v>
      </c>
      <c r="Z8" s="61">
        <f>SUMIFS('Status of Curriculum Completion'!$CM$4:$CM$38,'Status of Curriculum Completion'!$CC$4:$CC$38,"LA",'Status of Curriculum Completion'!$CH$4:$CH$38,"Complete")+SUMIFS('Status of Curriculum Completion'!$CZ$4:$CZ$38,'Status of Curriculum Completion'!$CP$4:$CP$38,"LA",'Status of Curriculum Completion'!$CU$4:$CU$38,"Complete")+SUMIFS('Status of Curriculum Completion'!$DM$4:$DM$38,'Status of Curriculum Completion'!$DC$4:$DC$38,"LA",'Status of Curriculum Completion'!$DH$4:$DH$38,"Complete")</f>
        <v>147</v>
      </c>
      <c r="AA8" s="61">
        <f>SUMIFS('Status of Curriculum Completion'!$CM$4:$CM$38,'Status of Curriculum Completion'!$CC$4:$CC$38,"LA",'Status of Curriculum Completion'!$CH$4:$CH$38,"In Progress")+SUMIFS('Status of Curriculum Completion'!$CZ$4:$CZ$38,'Status of Curriculum Completion'!$CP$4:$CP$38,"LA",'Status of Curriculum Completion'!$CU$4:$CU$38,"In Progress")+SUMIFS('Status of Curriculum Completion'!$DM$4:$DM$38,'Status of Curriculum Completion'!$DC$4:$DC$38,"LA",'Status of Curriculum Completion'!$DH$4:$DH$38,"In Progress")</f>
        <v>0</v>
      </c>
      <c r="AB8" s="61">
        <f>SUMIFS('Status of Curriculum Completion'!$CM$4:$CM$38,'Status of Curriculum Completion'!$CC$4:$CC$38,"LA",'Status of Curriculum Completion'!$CH$4:$CH$38,"Planned")+SUMIFS('Status of Curriculum Completion'!$CZ$4:$CZ$38,'Status of Curriculum Completion'!$CP$4:$CP$38,"LA",'Status of Curriculum Completion'!$CU$4:$CU$38,"Planned")+SUMIFS('Status of Curriculum Completion'!$DM$4:$DM$38,'Status of Curriculum Completion'!$DC$4:$DC$38,"LA",'Status of Curriculum Completion'!$DH$4:$DH$38,"Planned")</f>
        <v>0</v>
      </c>
      <c r="AC8" s="61">
        <f>SUMIFS('Status of Curriculum Completion'!$CM$4:$CM$38,'Status of Curriculum Completion'!$CC$4:$CC$38,"LA",'Status of Curriculum Completion'!$CH$4:$CH$38,"Tentative")+SUMIFS('Status of Curriculum Completion'!$CZ$4:$CZ$38,'Status of Curriculum Completion'!$CP$4:$CP$38,"LA",'Status of Curriculum Completion'!$CU$4:$CU$38,"Tentative")+SUMIFS('Status of Curriculum Completion'!$DM$4:$DM$38,'Status of Curriculum Completion'!$DC$4:$DC$38,"LA",'Status of Curriculum Completion'!$DH$4:$DH$38,"Tentative")</f>
        <v>0</v>
      </c>
      <c r="AD8" s="61">
        <f>SUMIFS('Status of Curriculum Completion'!$CM$4:$CM$38,'Status of Curriculum Completion'!$CC$4:$CC$38,"LA",'Status of Curriculum Completion'!$CI$4:$CI$38,"Complete")+SUMIFS('Status of Curriculum Completion'!$CZ$4:$CZ$38,'Status of Curriculum Completion'!$CP$4:$CP$38,"LA",'Status of Curriculum Completion'!$CV$4:$CV$38,"Complete")+SUMIFS('Status of Curriculum Completion'!$DM$4:$DM$38,'Status of Curriculum Completion'!$DC$4:$DC$38,"LA",'Status of Curriculum Completion'!$DI$4:$DI$38,"Complete")</f>
        <v>80</v>
      </c>
      <c r="AE8" s="61">
        <f>SUMIFS('Status of Curriculum Completion'!$CM$4:$CM$38,'Status of Curriculum Completion'!$CC$4:$CC$38,"LA",'Status of Curriculum Completion'!$CI$4:$CI$38,"In Progress")+SUMIFS('Status of Curriculum Completion'!$CZ$4:$CZ$38,'Status of Curriculum Completion'!$CP$4:$CP$38,"LA",'Status of Curriculum Completion'!$CV$4:$CV$38,"In Progress")+SUMIFS('Status of Curriculum Completion'!$DM$4:$DM$38,'Status of Curriculum Completion'!$DC$4:$DC$38,"LA",'Status of Curriculum Completion'!$DI$4:$DI$38,"In Progress")</f>
        <v>59</v>
      </c>
      <c r="AF8" s="61">
        <f>SUMIFS('Status of Curriculum Completion'!$CM$4:$CM$38,'Status of Curriculum Completion'!$CC$4:$CC$38,"LA",'Status of Curriculum Completion'!$CI$4:$CI$38,"Planned")+SUMIFS('Status of Curriculum Completion'!$CZ$4:$CZ$38,'Status of Curriculum Completion'!$CP$4:$CP$38,"LA",'Status of Curriculum Completion'!$CV$4:$CV$38,"Planned")+SUMIFS('Status of Curriculum Completion'!$DM$4:$DM$38,'Status of Curriculum Completion'!$DC$4:$DC$38,"LA",'Status of Curriculum Completion'!$DI$4:$DI$38,"Planned")</f>
        <v>0</v>
      </c>
      <c r="AG8" s="61">
        <f>SUMIFS('Status of Curriculum Completion'!$CM$4:$CM$38,'Status of Curriculum Completion'!$CC$4:$CC$38,"LA",'Status of Curriculum Completion'!$CI$4:$CI$38,"Tentative")+SUMIFS('Status of Curriculum Completion'!$CZ$4:$CZ$38,'Status of Curriculum Completion'!$CP$4:$CP$38,"LA",'Status of Curriculum Completion'!$CV$4:$CV$38,"Tentative")+SUMIFS('Status of Curriculum Completion'!$DM$4:$DM$38,'Status of Curriculum Completion'!$DC$4:$DC$38,"LA",'Status of Curriculum Completion'!$DI$4:$DI$38,"Tentative")</f>
        <v>8</v>
      </c>
      <c r="AH8" s="62">
        <f>SUMIFS('Status of Curriculum Completion'!$DZ$4:$DZ$38,'Status of Curriculum Completion'!$DP$4:$DP$38,"LA",'Status of Curriculum Completion'!$DT$4:$DT$38,"Complete")+SUMIFS('Status of Curriculum Completion'!$EM$4:$EM$38,'Status of Curriculum Completion'!$EC$4:$EC$38,"LA",'Status of Curriculum Completion'!$EG$4:$EG$38,"Complete")+SUMIFS('Status of Curriculum Completion'!$EZ$4:$EZ$38,'Status of Curriculum Completion'!$EP$4:$EP$38,"LA",'Status of Curriculum Completion'!$ET$4:$ET$38,"Complete")</f>
        <v>373</v>
      </c>
      <c r="AI8" s="62">
        <f>SUMIFS('Status of Curriculum Completion'!$DZ$4:$DZ$38,'Status of Curriculum Completion'!$DP$4:$DP$38,"LA",'Status of Curriculum Completion'!$DT$4:$DT$38,"In Progress")+SUMIFS('Status of Curriculum Completion'!$EM$4:$EM$38,'Status of Curriculum Completion'!$EC$4:$EC$38,"LA",'Status of Curriculum Completion'!$EG$4:$EG$38,"In Progress")+SUMIFS('Status of Curriculum Completion'!$EZ$4:$EZ$38,'Status of Curriculum Completion'!$EP$4:$EP$38,"LA",'Status of Curriculum Completion'!$ET$4:$ET$38,"In Progress")</f>
        <v>0</v>
      </c>
      <c r="AJ8" s="62">
        <f>SUMIFS('Status of Curriculum Completion'!$DZ$4:$DZ$38,'Status of Curriculum Completion'!$DP$4:$DP$38,"LA",'Status of Curriculum Completion'!$DT$4:$DT$38,"Planned")+SUMIFS('Status of Curriculum Completion'!$EM$4:$EM$38,'Status of Curriculum Completion'!$EC$4:$EC$38,"LA",'Status of Curriculum Completion'!$EG$4:$EG$38,"Planned")+SUMIFS('Status of Curriculum Completion'!$EZ$4:$EZ$38,'Status of Curriculum Completion'!$EP$4:$EP$38,"LA",'Status of Curriculum Completion'!$ET$4:$ET$38,"Planned")</f>
        <v>0</v>
      </c>
      <c r="AK8" s="62">
        <f>SUMIFS('Status of Curriculum Completion'!$DZ$4:$DZ$38,'Status of Curriculum Completion'!$DP$4:$DP$38,"LA",'Status of Curriculum Completion'!$DT$4:$DT$38,"Tentative")+SUMIFS('Status of Curriculum Completion'!$EM$4:$EM$38,'Status of Curriculum Completion'!$EC$4:$EC$38,"LA",'Status of Curriculum Completion'!$EG$4:$EG$38,"Tentative")+SUMIFS('Status of Curriculum Completion'!$EZ$4:$EZ$38,'Status of Curriculum Completion'!$EP$4:$EP$38,"LA",'Status of Curriculum Completion'!$ET$4:$ET$38,"Tentative")</f>
        <v>0</v>
      </c>
      <c r="AL8" s="62">
        <f>SUMIFS('Status of Curriculum Completion'!$DZ$4:$DZ$38,'Status of Curriculum Completion'!$DP$4:$DP$38,"LA",'Status of Curriculum Completion'!$DU$4:$DU$38,"Complete")+SUMIFS('Status of Curriculum Completion'!$EM$4:$EM$38,'Status of Curriculum Completion'!$EC$4:$EC$38,"LA",'Status of Curriculum Completion'!$EH$4:$EH$38,"Complete")+SUMIFS('Status of Curriculum Completion'!$EZ$4:$EZ$38,'Status of Curriculum Completion'!$EP$4:$EP$38,"LA",'Status of Curriculum Completion'!$EU$4:$EU$38,"Complete")</f>
        <v>135</v>
      </c>
      <c r="AM8" s="62">
        <f>SUMIFS('Status of Curriculum Completion'!$DZ$4:$DZ$38,'Status of Curriculum Completion'!$DP$4:$DP$38,"LA",'Status of Curriculum Completion'!$DU$4:$DU$38,"In Progress")+SUMIFS('Status of Curriculum Completion'!$EM$4:$EM$38,'Status of Curriculum Completion'!$EC$4:$EC$38,"LA",'Status of Curriculum Completion'!$EH$4:$EH$38,"In Progress")+SUMIFS('Status of Curriculum Completion'!$EZ$4:$EZ$38,'Status of Curriculum Completion'!$EP$4:$EP$38,"LA",'Status of Curriculum Completion'!$EU$4:$EU$38,"In Progress")</f>
        <v>238</v>
      </c>
      <c r="AN8" s="62">
        <f>SUMIFS('Status of Curriculum Completion'!$DZ$4:$DZ$38,'Status of Curriculum Completion'!$DP$4:$DP$38,"LA",'Status of Curriculum Completion'!$DU$4:$DU$38,"Planned")+SUMIFS('Status of Curriculum Completion'!$EM$4:$EM$38,'Status of Curriculum Completion'!$EC$4:$EC$38,"LA",'Status of Curriculum Completion'!$EH$4:$EH$38,"Planned")+SUMIFS('Status of Curriculum Completion'!$EZ$4:$EZ$38,'Status of Curriculum Completion'!$EP$4:$EP$38,"LA",'Status of Curriculum Completion'!$EU$4:$EU$38,"Planned")</f>
        <v>0</v>
      </c>
      <c r="AO8" s="62">
        <f>SUMIFS('Status of Curriculum Completion'!$DZ$4:$DZ$38,'Status of Curriculum Completion'!$DP$4:$DP$38,"LA",'Status of Curriculum Completion'!$DU$4:$DU$38,"Tentative")+SUMIFS('Status of Curriculum Completion'!$EM$4:$EM$38,'Status of Curriculum Completion'!$EC$4:$EC$38,"LA",'Status of Curriculum Completion'!$EH$4:$EH$38,"Tentative")+SUMIFS('Status of Curriculum Completion'!$EZ$4:$EZ$38,'Status of Curriculum Completion'!$EP$4:$EP$38,"LA",'Status of Curriculum Completion'!$EU$4:$EU$38,"Tentative")</f>
        <v>0</v>
      </c>
      <c r="AP8" s="62">
        <f>SUMIFS('Status of Curriculum Completion'!$DZ$4:$DZ$38,'Status of Curriculum Completion'!$DP$4:$DP$38,"LA",'Status of Curriculum Completion'!$DV$4:$DV$38,"Complete")+SUMIFS('Status of Curriculum Completion'!$EM$4:$EM$38,'Status of Curriculum Completion'!$EC$4:$EC$38,"LA",'Status of Curriculum Completion'!$EI$4:$EI$38,"Complete")+SUMIFS('Status of Curriculum Completion'!$EZ$4:$EZ$38,'Status of Curriculum Completion'!$EP$4:$EP$38,"LA",'Status of Curriculum Completion'!$EV$4:$EV$38,"Complete")</f>
        <v>0</v>
      </c>
      <c r="AQ8" s="62">
        <f>SUMIFS('Status of Curriculum Completion'!$DZ$4:$DZ$38,'Status of Curriculum Completion'!$DP$4:$DP$38,"LA",'Status of Curriculum Completion'!$DV$4:$DV$38,"In Progress")+SUMIFS('Status of Curriculum Completion'!$EM$4:$EM$38,'Status of Curriculum Completion'!$EC$4:$EC$38,"LA",'Status of Curriculum Completion'!$EI$4:$EI$38,"In Progress")+SUMIFS('Status of Curriculum Completion'!$EZ$4:$EZ$38,'Status of Curriculum Completion'!$EP$4:$EP$38,"LA",'Status of Curriculum Completion'!$EV$4:$EV$38,"In Progress")</f>
        <v>0</v>
      </c>
      <c r="AR8" s="62">
        <f>SUMIFS('Status of Curriculum Completion'!$DZ$4:$DZ$38,'Status of Curriculum Completion'!$DP$4:$DP$38,"LA",'Status of Curriculum Completion'!$DV$4:$DV$38,"Planned")+SUMIFS('Status of Curriculum Completion'!$EM$4:$EM$38,'Status of Curriculum Completion'!$EC$4:$EC$38,"LA",'Status of Curriculum Completion'!$EI$4:$EI$38,"Planned")+SUMIFS('Status of Curriculum Completion'!$EZ$4:$EZ$38,'Status of Curriculum Completion'!$EP$4:$EP$38,"LA",'Status of Curriculum Completion'!$EV$4:$EV$38,"Planned")</f>
        <v>0</v>
      </c>
      <c r="AS8" s="62">
        <f>SUMIFS('Status of Curriculum Completion'!$DZ$4:$DZ$38,'Status of Curriculum Completion'!$DP$4:$DP$38,"LA",'Status of Curriculum Completion'!$DV$4:$DV$38,"Tentative")+SUMIFS('Status of Curriculum Completion'!$EM$4:$EM$38,'Status of Curriculum Completion'!$EC$4:$EC$38,"LA",'Status of Curriculum Completion'!$EI$4:$EI$38,"Tentative")+SUMIFS('Status of Curriculum Completion'!$EZ$4:$EZ$38,'Status of Curriculum Completion'!$EP$4:$EP$38,"LA",'Status of Curriculum Completion'!$EV$4:$EV$38,"Tentative")</f>
        <v>373</v>
      </c>
    </row>
    <row r="9" spans="1:45" ht="15" thickBot="1">
      <c r="A9" s="63" t="s">
        <v>1630</v>
      </c>
      <c r="B9" s="59">
        <f>SUMIFS('Status of Curriculum Completion'!M$4:M$38,'Status of Curriculum Completion'!C$4:C$38,"CIC MEA",'Status of Curriculum Completion'!G$4:G$38,"Complete")+SUMIFS('Status of Curriculum Completion'!Z$4:Z$38,'Status of Curriculum Completion'!P$4:P$38,"CIC MEA",'Status of Curriculum Completion'!T$4:T$38,"Complete")+SUMIFS('Status of Curriculum Completion'!AM$4:AM$38,'Status of Curriculum Completion'!AC$4:AC$38,"CIC MEA",'Status of Curriculum Completion'!AG$4:AG$38,"Complete")</f>
        <v>0</v>
      </c>
      <c r="C9" s="59">
        <f>SUMIFS('Status of Curriculum Completion'!$M$4:$M$38,'Status of Curriculum Completion'!$C$4:$C$38,"CIC MEA",'Status of Curriculum Completion'!$G$4:$G$38,"In progress")+SUMIFS('Status of Curriculum Completion'!$Z$4:$Z$38,'Status of Curriculum Completion'!$P$4:$P$38,"CIC MEA",'Status of Curriculum Completion'!$T$4:$T$38,"In progress")+SUMIFS('Status of Curriculum Completion'!$AM$4:$AM$38,'Status of Curriculum Completion'!$AC$4:$AC$38,"CIC MEA",'Status of Curriculum Completion'!$AG$4:$AG$38,"In progress")</f>
        <v>0</v>
      </c>
      <c r="D9" s="59">
        <f>SUMIFS('Status of Curriculum Completion'!$M$4:$M$38,'Status of Curriculum Completion'!$C$4:$C$38,"CIC MEA",'Status of Curriculum Completion'!$G$4:$G$38,"Planned")+SUMIFS('Status of Curriculum Completion'!$Z$4:$Z$38,'Status of Curriculum Completion'!$P$4:$P$38,"CIC MEA",'Status of Curriculum Completion'!$T$4:$T$38,"Planned")+SUMIFS('Status of Curriculum Completion'!$AM$4:$AM$38,'Status of Curriculum Completion'!$AC$4:$AC$38,"CIC MEA",'Status of Curriculum Completion'!$AG$4:$AG$38,"Planned")</f>
        <v>0</v>
      </c>
      <c r="E9" s="59">
        <f>SUMIFS('Status of Curriculum Completion'!$M$4:$M$38,'Status of Curriculum Completion'!$C$4:$C$38,"CIC MEA",'Status of Curriculum Completion'!$H$4:$H$38,"Complete")+SUMIFS('Status of Curriculum Completion'!$Z$4:$Z$38,'Status of Curriculum Completion'!$P$4:$P$38,"CIC MEA",'Status of Curriculum Completion'!$U$4:$U$38,"Complete")+SUMIFS('Status of Curriculum Completion'!$AM$4:$AM$38,'Status of Curriculum Completion'!$AC$4:$AC$38,"CIC MEA",'Status of Curriculum Completion'!$AH$4:$AH$38,"Complete")</f>
        <v>0</v>
      </c>
      <c r="F9" s="59">
        <f>SUMIFS('Status of Curriculum Completion'!$M$4:$M$38,'Status of Curriculum Completion'!$C$4:$C$38,"CIC MEA",'Status of Curriculum Completion'!$H$4:$H$38,"In Progress")+SUMIFS('Status of Curriculum Completion'!$Z$4:$Z$38,'Status of Curriculum Completion'!$P$4:$P$38,"CIC MEA",'Status of Curriculum Completion'!$U$4:$U$38,"In Progress")+SUMIFS('Status of Curriculum Completion'!$AM$4:$AM$38,'Status of Curriculum Completion'!$AC$4:$AC$38,"CIC MEA",'Status of Curriculum Completion'!$AH$4:$AH$38,"In Progress")</f>
        <v>0</v>
      </c>
      <c r="G9" s="59">
        <f>SUMIFS('Status of Curriculum Completion'!$M$4:$M$38,'Status of Curriculum Completion'!$C$4:$C$38,"CIC MEA",'Status of Curriculum Completion'!$H$4:$H$38,"Planned")+SUMIFS('Status of Curriculum Completion'!$Z$4:$Z$38,'Status of Curriculum Completion'!$P$4:$P$38,"CIC MEA",'Status of Curriculum Completion'!$U$4:$U$38,"Planned")+SUMIFS('Status of Curriculum Completion'!$AM$4:$AM$38,'Status of Curriculum Completion'!$AC$4:$AC$38,"CIC MEA",'Status of Curriculum Completion'!$AH$4:$AH$38,"Planned")</f>
        <v>0</v>
      </c>
      <c r="H9" s="59">
        <f>SUMIFS('Status of Curriculum Completion'!$M$4:$M$38,'Status of Curriculum Completion'!$C$4:$C$38,"CIC MEA",'Status of Curriculum Completion'!$I$4:$I$38,"Complete")+SUMIFS('Status of Curriculum Completion'!$Z$4:$Z$38,'Status of Curriculum Completion'!$P$4:$P$38,"CIC MEA",'Status of Curriculum Completion'!$V$4:$V$38,"Complete")+SUMIFS('Status of Curriculum Completion'!$AM$4:$AM$38,'Status of Curriculum Completion'!$AC$4:$AC$38,"CIC MEA",'Status of Curriculum Completion'!$AI$4:$AI$38,"Complete")</f>
        <v>0</v>
      </c>
      <c r="I9" s="59">
        <f>SUMIFS('Status of Curriculum Completion'!$M$4:$M$38,'Status of Curriculum Completion'!$C$4:$C$38,"CIC MEA",'Status of Curriculum Completion'!$I$4:$I$38,"In Progress")+SUMIFS('Status of Curriculum Completion'!$Z$4:$Z$38,'Status of Curriculum Completion'!$P$4:$P$38,"CIC MEA",'Status of Curriculum Completion'!$V$4:$V$38,"In Progress")+SUMIFS('Status of Curriculum Completion'!$AM$4:$AM$38,'Status of Curriculum Completion'!$AC$4:$AC$38,"CIC MEA",'Status of Curriculum Completion'!$AI$4:$AI$38,"In Progress")</f>
        <v>0</v>
      </c>
      <c r="J9" s="59">
        <f>SUMIFS('Status of Curriculum Completion'!$M$4:$M$38,'Status of Curriculum Completion'!$C$4:$C$38,"CIC MEA",'Status of Curriculum Completion'!$I$4:$I$38,"Planned")+SUMIFS('Status of Curriculum Completion'!$Z$4:$Z$38,'Status of Curriculum Completion'!$P$4:$P$38,"CIC MEA",'Status of Curriculum Completion'!$V$4:$V$38,"Planned")+SUMIFS('Status of Curriculum Completion'!$AM$4:$AM$38,'Status of Curriculum Completion'!$AC$4:$AC$38,"CIC MEA",'Status of Curriculum Completion'!$AI$4:$AI$38,"Planned")</f>
        <v>0</v>
      </c>
      <c r="K9" s="60">
        <f>SUMIFS('Status of Curriculum Completion'!$AZ$4:$AZ$38,'Status of Curriculum Completion'!$AP$4:$AP$38,"CIC MEA",'Status of Curriculum Completion'!$AT$4:$AT$38,"Complete")+SUMIFS('Status of Curriculum Completion'!$BM$4:$BM$38,'Status of Curriculum Completion'!$BC$4:$BC$38,"CIC MEA",'Status of Curriculum Completion'!$BG$4:$BG$38,"Complete")+SUMIFS('Status of Curriculum Completion'!$BZ$4:$BZ$38,'Status of Curriculum Completion'!$BP$4:$BP$38,"CIC MEA",'Status of Curriculum Completion'!$BT$4:$BT$38,"Complete")</f>
        <v>0</v>
      </c>
      <c r="L9" s="60">
        <f>SUMIFS('Status of Curriculum Completion'!$AZ$4:$AZ$38,'Status of Curriculum Completion'!$AP$4:$AP$38,"CIC MEA",'Status of Curriculum Completion'!$AT$4:$AT$38,"In Progress")+SUMIFS('Status of Curriculum Completion'!$BM$4:$BM$38,'Status of Curriculum Completion'!$BC$4:$BC$38,"CIC MEA",'Status of Curriculum Completion'!$BG$4:$BG$38,"In Progress")+SUMIFS('Status of Curriculum Completion'!$BZ$4:$BZ$38,'Status of Curriculum Completion'!$BP$4:$BP$38,"CIC MEA",'Status of Curriculum Completion'!$BT$4:$BT$38,"In Progress")</f>
        <v>0</v>
      </c>
      <c r="M9" s="60">
        <f>SUMIFS('Status of Curriculum Completion'!$AZ$4:$AZ$38,'Status of Curriculum Completion'!$AP$4:$AP$38,"CIC MEA",'Status of Curriculum Completion'!$AT$4:$AT$38,"Planned")+SUMIFS('Status of Curriculum Completion'!$BM$4:$BM$38,'Status of Curriculum Completion'!$BC$4:$BC$38,"CIC MEA",'Status of Curriculum Completion'!$BG$4:$BG$38,"Planned")+SUMIFS('Status of Curriculum Completion'!$BZ$4:$BZ$38,'Status of Curriculum Completion'!$BP$4:$BP$38,"CIC MEA",'Status of Curriculum Completion'!$BT$4:$BT$38,"Planned")</f>
        <v>0</v>
      </c>
      <c r="N9" s="60">
        <f>SUMIFS('Status of Curriculum Completion'!$AZ$4:$AZ$38,'Status of Curriculum Completion'!$AP$4:$AP$38,"CIC MEA",'Status of Curriculum Completion'!$AU$4:$AU$38,"Complete")+SUMIFS('Status of Curriculum Completion'!$BM$4:$BM$38,'Status of Curriculum Completion'!$BC$4:$BC$38,"CIC MEA",'Status of Curriculum Completion'!$BH$4:$BH$38,"Complete")+SUMIFS('Status of Curriculum Completion'!$BZ$4:$BZ$38,'Status of Curriculum Completion'!$BP$4:$BP$38,"CIC MEA",'Status of Curriculum Completion'!$BU$4:$BU$38,"Complete")</f>
        <v>0</v>
      </c>
      <c r="O9" s="60">
        <f>SUMIFS('Status of Curriculum Completion'!$AZ$4:$AZ$38,'Status of Curriculum Completion'!$AP$4:$AP$38,"CIC MEA",'Status of Curriculum Completion'!$AU$4:$AU$38,"In Progress")+SUMIFS('Status of Curriculum Completion'!$BM$4:$BM$38,'Status of Curriculum Completion'!$BC$4:$BC$38,"CIC MEA",'Status of Curriculum Completion'!$BH$4:$BH$38,"In Progress")+SUMIFS('Status of Curriculum Completion'!$BZ$4:$BZ$38,'Status of Curriculum Completion'!$BP$4:$BP$38,"CIC MEA",'Status of Curriculum Completion'!$BU$4:$BU$38,"In Progress")</f>
        <v>0</v>
      </c>
      <c r="P9" s="60">
        <f>SUMIFS('Status of Curriculum Completion'!$AZ$4:$AZ$38,'Status of Curriculum Completion'!$AP$4:$AP$38,"CIC MEA",'Status of Curriculum Completion'!$AU$4:$AU$38,"Planned")+SUMIFS('Status of Curriculum Completion'!$BM$4:$BM$38,'Status of Curriculum Completion'!$BC$4:$BC$38,"CIC MEA",'Status of Curriculum Completion'!$BH$4:$BH$38,"Planned")+SUMIFS('Status of Curriculum Completion'!$BZ$4:$BZ$38,'Status of Curriculum Completion'!$BP$4:$BP$38,"CIC MEA",'Status of Curriculum Completion'!$BU$4:$BU$38,"Planned")</f>
        <v>0</v>
      </c>
      <c r="Q9" s="60">
        <f>SUMIFS('Status of Curriculum Completion'!$AZ$4:$AZ$38,'Status of Curriculum Completion'!$AP$4:$AP$38,"CIC MEA",'Status of Curriculum Completion'!$AV$4:$AV$38,"Complete")+SUMIFS('Status of Curriculum Completion'!$BM$4:$BM$38,'Status of Curriculum Completion'!$BC$4:$BC$38,"CIC MEA",'Status of Curriculum Completion'!$BI$4:$BI$38,"Complete")+SUMIFS('Status of Curriculum Completion'!$BZ$4:$BZ$38,'Status of Curriculum Completion'!$BP$4:$BP$38,"CIC MEA",'Status of Curriculum Completion'!$BV$4:$BV$38,"Complete")</f>
        <v>0</v>
      </c>
      <c r="R9" s="60">
        <f>SUMIFS('Status of Curriculum Completion'!$AZ$4:$AZ$38,'Status of Curriculum Completion'!$AP$4:$AP$38,"CIC MEA",'Status of Curriculum Completion'!$AV$4:$AV$38,"In Progress")+SUMIFS('Status of Curriculum Completion'!$BM$4:$BM$38,'Status of Curriculum Completion'!$BC$4:$BC$38,"CIC MEA",'Status of Curriculum Completion'!$BI$4:$BI$38,"In Progress")+SUMIFS('Status of Curriculum Completion'!$BZ$4:$BZ$38,'Status of Curriculum Completion'!$BP$4:$BP$38,"CIC MEA",'Status of Curriculum Completion'!$BV$4:$BV$38,"In Progress")</f>
        <v>0</v>
      </c>
      <c r="S9" s="60">
        <f>SUMIFS('Status of Curriculum Completion'!$AZ$4:$AZ$38,'Status of Curriculum Completion'!$AP$4:$AP$38,"CIC MEA",'Status of Curriculum Completion'!$AV$4:$AV$38,"Planned")+SUMIFS('Status of Curriculum Completion'!$BM$4:$BM$38,'Status of Curriculum Completion'!$BC$4:$BC$38,"CIC MEA",'Status of Curriculum Completion'!$BI$4:$BI$38,"Planned")+SUMIFS('Status of Curriculum Completion'!$BZ$4:$BZ$38,'Status of Curriculum Completion'!$BP$4:$BP$38,"CIC MEA",'Status of Curriculum Completion'!$BV$4:$BV$38,"Planned")</f>
        <v>0</v>
      </c>
      <c r="U9" s="63" t="s">
        <v>1630</v>
      </c>
      <c r="V9" s="61">
        <f>SUMIFS('Status of Curriculum Completion'!$CM$4:$CM$38,'Status of Curriculum Completion'!$CC$4:$CC$38,"CIC MEA",'Status of Curriculum Completion'!$CG$4:$CG$38,"Complete")+SUMIFS('Status of Curriculum Completion'!$CZ$4:$CZ$38,'Status of Curriculum Completion'!$CP$4:$CP$38,"CIC MEA",'Status of Curriculum Completion'!$CT$4:$CT$38,"Complete")+SUMIFS('Status of Curriculum Completion'!$DM$4:$DM$38,'Status of Curriculum Completion'!$DC$4:$DC$38,"CIC MEA",'Status of Curriculum Completion'!$DG$4:$DG$38,"Complete")</f>
        <v>23</v>
      </c>
      <c r="W9" s="61">
        <f>SUMIFS('Status of Curriculum Completion'!$CM$4:$CM$38,'Status of Curriculum Completion'!$CC$4:$CC$38,"CIC MEA",'Status of Curriculum Completion'!$CG$4:$CG$38,"In Progress")+SUMIFS('Status of Curriculum Completion'!$CZ$4:$CZ$38,'Status of Curriculum Completion'!$CP$4:$CP$38,"CIC MEA",'Status of Curriculum Completion'!$CT$4:$CT$38,"In Progress")+SUMIFS('Status of Curriculum Completion'!$DM$4:$DM$38,'Status of Curriculum Completion'!$DC$4:$DC$38,"CIC MEA",'Status of Curriculum Completion'!$DG$4:$DG$38,"In Progress")</f>
        <v>0</v>
      </c>
      <c r="X9" s="61">
        <f>SUMIFS('Status of Curriculum Completion'!$CM$4:$CM$38,'Status of Curriculum Completion'!$CC$4:$CC$38,"CIC MEA",'Status of Curriculum Completion'!$CG$4:$CG$38,"Planned")+SUMIFS('Status of Curriculum Completion'!$CZ$4:$CZ$38,'Status of Curriculum Completion'!$CP$4:$CP$38,"CIC MEA",'Status of Curriculum Completion'!$CT$4:$CT$38,"Planned")+SUMIFS('Status of Curriculum Completion'!$DM$4:$DM$38,'Status of Curriculum Completion'!$DC$4:$DC$38,"CIC MEA",'Status of Curriculum Completion'!$DG$4:$DG$38,"Planned")</f>
        <v>0</v>
      </c>
      <c r="Y9" s="61">
        <f>SUMIFS('Status of Curriculum Completion'!$CM$4:$CM$38,'Status of Curriculum Completion'!$CC$4:$CC$38,"CIC MEA",'Status of Curriculum Completion'!$CG$4:$CG$38,"Tentative")+SUMIFS('Status of Curriculum Completion'!$CZ$4:$CZ$38,'Status of Curriculum Completion'!$CP$4:$CP$38,"CIC MEA",'Status of Curriculum Completion'!$CT$4:$CT$38,"Tentative")+SUMIFS('Status of Curriculum Completion'!$DM$4:$DM$38,'Status of Curriculum Completion'!$DC$4:$DC$38,"CIC MEA",'Status of Curriculum Completion'!$DG$4:$DG$38,"Tentative")</f>
        <v>0</v>
      </c>
      <c r="Z9" s="61">
        <f>SUMIFS('Status of Curriculum Completion'!$CM$4:$CM$38,'Status of Curriculum Completion'!$CC$4:$CC$38,"CIC MEA",'Status of Curriculum Completion'!$CH$4:$CH$38,"Complete")+SUMIFS('Status of Curriculum Completion'!$CZ$4:$CZ$38,'Status of Curriculum Completion'!$CP$4:$CP$38,"CIC MEA",'Status of Curriculum Completion'!$CU$4:$CU$38,"Complete")+SUMIFS('Status of Curriculum Completion'!$DM$4:$DM$38,'Status of Curriculum Completion'!$DC$4:$DC$38,"CIC MEA",'Status of Curriculum Completion'!$DH$4:$DH$38,"Complete")</f>
        <v>0</v>
      </c>
      <c r="AA9" s="61">
        <f>SUMIFS('Status of Curriculum Completion'!$CM$4:$CM$38,'Status of Curriculum Completion'!$CC$4:$CC$38,"CIC MEA",'Status of Curriculum Completion'!$CH$4:$CH$38,"In Progress")+SUMIFS('Status of Curriculum Completion'!$CZ$4:$CZ$38,'Status of Curriculum Completion'!$CP$4:$CP$38,"CIC MEA",'Status of Curriculum Completion'!$CU$4:$CU$38,"In Progress")+SUMIFS('Status of Curriculum Completion'!$DM$4:$DM$38,'Status of Curriculum Completion'!$DC$4:$DC$38,"CIC MEA",'Status of Curriculum Completion'!$DH$4:$DH$38,"In Progress")</f>
        <v>23</v>
      </c>
      <c r="AB9" s="61">
        <f>SUMIFS('Status of Curriculum Completion'!$CM$4:$CM$38,'Status of Curriculum Completion'!$CC$4:$CC$38,"CIC MEA",'Status of Curriculum Completion'!$CH$4:$CH$38,"Planned")+SUMIFS('Status of Curriculum Completion'!$CZ$4:$CZ$38,'Status of Curriculum Completion'!$CP$4:$CP$38,"CIC MEA",'Status of Curriculum Completion'!$CU$4:$CU$38,"Planned")+SUMIFS('Status of Curriculum Completion'!$DM$4:$DM$38,'Status of Curriculum Completion'!$DC$4:$DC$38,"CIC MEA",'Status of Curriculum Completion'!$DH$4:$DH$38,"Planned")</f>
        <v>0</v>
      </c>
      <c r="AC9" s="61">
        <f>SUMIFS('Status of Curriculum Completion'!$CM$4:$CM$38,'Status of Curriculum Completion'!$CC$4:$CC$38,"CIC MEA",'Status of Curriculum Completion'!$CH$4:$CH$38,"Tentative")+SUMIFS('Status of Curriculum Completion'!$CZ$4:$CZ$38,'Status of Curriculum Completion'!$CP$4:$CP$38,"CIC MEA",'Status of Curriculum Completion'!$CU$4:$CU$38,"Tentative")+SUMIFS('Status of Curriculum Completion'!$DM$4:$DM$38,'Status of Curriculum Completion'!$DC$4:$DC$38,"CIC MEA",'Status of Curriculum Completion'!$DH$4:$DH$38,"Tentative")</f>
        <v>0</v>
      </c>
      <c r="AD9" s="61">
        <f>SUMIFS('Status of Curriculum Completion'!$CM$4:$CM$38,'Status of Curriculum Completion'!$CC$4:$CC$38,"CIC MEA",'Status of Curriculum Completion'!$CI$4:$CI$38,"Complete")+SUMIFS('Status of Curriculum Completion'!$CZ$4:$CZ$38,'Status of Curriculum Completion'!$CP$4:$CP$38,"CIC MEA",'Status of Curriculum Completion'!$CV$4:$CV$38,"Complete")+SUMIFS('Status of Curriculum Completion'!$DM$4:$DM$38,'Status of Curriculum Completion'!$DC$4:$DC$38,"CIC MEA",'Status of Curriculum Completion'!$DI$4:$DI$38,"Complete")</f>
        <v>0</v>
      </c>
      <c r="AE9" s="61">
        <f>SUMIFS('Status of Curriculum Completion'!$CM$4:$CM$38,'Status of Curriculum Completion'!$CC$4:$CC$38,"CIC MEA",'Status of Curriculum Completion'!$CI$4:$CI$38,"In Progress")+SUMIFS('Status of Curriculum Completion'!$CZ$4:$CZ$38,'Status of Curriculum Completion'!$CP$4:$CP$38,"CIC MEA",'Status of Curriculum Completion'!$CV$4:$CV$38,"In Progress")+SUMIFS('Status of Curriculum Completion'!$DM$4:$DM$38,'Status of Curriculum Completion'!$DC$4:$DC$38,"CIC MEA",'Status of Curriculum Completion'!$DI$4:$DI$38,"In Progress")</f>
        <v>23</v>
      </c>
      <c r="AF9" s="61">
        <f>SUMIFS('Status of Curriculum Completion'!$CM$4:$CM$38,'Status of Curriculum Completion'!$CC$4:$CC$38,"CIC MEA",'Status of Curriculum Completion'!$CI$4:$CI$38,"Planned")+SUMIFS('Status of Curriculum Completion'!$CZ$4:$CZ$38,'Status of Curriculum Completion'!$CP$4:$CP$38,"CIC MEA",'Status of Curriculum Completion'!$CV$4:$CV$38,"Planned")+SUMIFS('Status of Curriculum Completion'!$DM$4:$DM$38,'Status of Curriculum Completion'!$DC$4:$DC$38,"CIC MEA",'Status of Curriculum Completion'!$DI$4:$DI$38,"Planned")</f>
        <v>0</v>
      </c>
      <c r="AG9" s="61">
        <f>SUMIFS('Status of Curriculum Completion'!$CM$4:$CM$38,'Status of Curriculum Completion'!$CC$4:$CC$38,"CIC MEA",'Status of Curriculum Completion'!$CI$4:$CI$38,"Tentative")+SUMIFS('Status of Curriculum Completion'!$CZ$4:$CZ$38,'Status of Curriculum Completion'!$CP$4:$CP$38,"CIC MEA",'Status of Curriculum Completion'!$CV$4:$CV$38,"Tentative")+SUMIFS('Status of Curriculum Completion'!$DM$4:$DM$38,'Status of Curriculum Completion'!$DC$4:$DC$38,"CIC MEA",'Status of Curriculum Completion'!$DI$4:$DI$38,"Tentative")</f>
        <v>0</v>
      </c>
      <c r="AH9" s="62">
        <f>SUMIFS('Status of Curriculum Completion'!$DZ$4:$DZ$38,'Status of Curriculum Completion'!$DP$4:$DP$38,"CIC MEA",'Status of Curriculum Completion'!$DT$4:$DT$38,"Complete")+SUMIFS('Status of Curriculum Completion'!$EM$4:$EM$38,'Status of Curriculum Completion'!$EC$4:$EC$38,"CIC MEA",'Status of Curriculum Completion'!$EG$4:$EG$38,"Complete")+SUMIFS('Status of Curriculum Completion'!$EZ$4:$EZ$38,'Status of Curriculum Completion'!$EP$4:$EP$38,"CIC MEA",'Status of Curriculum Completion'!$ET$4:$ET$38,"Complete")</f>
        <v>0</v>
      </c>
      <c r="AI9" s="62">
        <f>SUMIFS('Status of Curriculum Completion'!$DZ$4:$DZ$38,'Status of Curriculum Completion'!$DP$4:$DP$38,"CIC MEA",'Status of Curriculum Completion'!$DT$4:$DT$38,"In Progress")+SUMIFS('Status of Curriculum Completion'!$EM$4:$EM$38,'Status of Curriculum Completion'!$EC$4:$EC$38,"CIC MEA",'Status of Curriculum Completion'!$EG$4:$EG$38,"In Progress")+SUMIFS('Status of Curriculum Completion'!$EZ$4:$EZ$38,'Status of Curriculum Completion'!$EP$4:$EP$38,"CIC MEA",'Status of Curriculum Completion'!$ET$4:$ET$38,"In Progress")</f>
        <v>0</v>
      </c>
      <c r="AJ9" s="62">
        <f>SUMIFS('Status of Curriculum Completion'!$DZ$4:$DZ$38,'Status of Curriculum Completion'!$DP$4:$DP$38,"CIC MEA",'Status of Curriculum Completion'!$DT$4:$DT$38,"Planned")+SUMIFS('Status of Curriculum Completion'!$EM$4:$EM$38,'Status of Curriculum Completion'!$EC$4:$EC$38,"CIC MEA",'Status of Curriculum Completion'!$EG$4:$EG$38,"Planned")+SUMIFS('Status of Curriculum Completion'!$EZ$4:$EZ$38,'Status of Curriculum Completion'!$EP$4:$EP$38,"CIC MEA",'Status of Curriculum Completion'!$ET$4:$ET$38,"Planned")</f>
        <v>0</v>
      </c>
      <c r="AK9" s="62">
        <f>SUMIFS('Status of Curriculum Completion'!$DZ$4:$DZ$38,'Status of Curriculum Completion'!$DP$4:$DP$38,"CIC MEA",'Status of Curriculum Completion'!$DT$4:$DT$38,"Tentative")+SUMIFS('Status of Curriculum Completion'!$EM$4:$EM$38,'Status of Curriculum Completion'!$EC$4:$EC$38,"CIC MEA",'Status of Curriculum Completion'!$EG$4:$EG$38,"Tentative")+SUMIFS('Status of Curriculum Completion'!$EZ$4:$EZ$38,'Status of Curriculum Completion'!$EP$4:$EP$38,"CIC MEA",'Status of Curriculum Completion'!$ET$4:$ET$38,"Tentative")</f>
        <v>0</v>
      </c>
      <c r="AL9" s="62">
        <f>SUMIFS('Status of Curriculum Completion'!$DZ$4:$DZ$38,'Status of Curriculum Completion'!$DP$4:$DP$38,"CIC MEA",'Status of Curriculum Completion'!$DU$4:$DU$38,"Complete")+SUMIFS('Status of Curriculum Completion'!$EM$4:$EM$38,'Status of Curriculum Completion'!$EC$4:$EC$38,"CIC MEA",'Status of Curriculum Completion'!$EH$4:$EH$38,"Complete")+SUMIFS('Status of Curriculum Completion'!$EZ$4:$EZ$38,'Status of Curriculum Completion'!$EP$4:$EP$38,"CIC MEA",'Status of Curriculum Completion'!$EU$4:$EU$38,"Complete")</f>
        <v>0</v>
      </c>
      <c r="AM9" s="62">
        <f>SUMIFS('Status of Curriculum Completion'!$DZ$4:$DZ$38,'Status of Curriculum Completion'!$DP$4:$DP$38,"CIC MEA",'Status of Curriculum Completion'!$DU$4:$DU$38,"In Progress")+SUMIFS('Status of Curriculum Completion'!$EM$4:$EM$38,'Status of Curriculum Completion'!$EC$4:$EC$38,"CIC MEA",'Status of Curriculum Completion'!$EH$4:$EH$38,"In Progress")+SUMIFS('Status of Curriculum Completion'!$EZ$4:$EZ$38,'Status of Curriculum Completion'!$EP$4:$EP$38,"CIC MEA",'Status of Curriculum Completion'!$EU$4:$EU$38,"In Progress")</f>
        <v>0</v>
      </c>
      <c r="AN9" s="62">
        <f>SUMIFS('Status of Curriculum Completion'!$DZ$4:$DZ$38,'Status of Curriculum Completion'!$DP$4:$DP$38,"CIC MEA",'Status of Curriculum Completion'!$DU$4:$DU$38,"Planned")+SUMIFS('Status of Curriculum Completion'!$EM$4:$EM$38,'Status of Curriculum Completion'!$EC$4:$EC$38,"CIC MEA",'Status of Curriculum Completion'!$EH$4:$EH$38,"Planned")+SUMIFS('Status of Curriculum Completion'!$EZ$4:$EZ$38,'Status of Curriculum Completion'!$EP$4:$EP$38,"CIC MEA",'Status of Curriculum Completion'!$EU$4:$EU$38,"Planned")</f>
        <v>0</v>
      </c>
      <c r="AO9" s="62">
        <f>SUMIFS('Status of Curriculum Completion'!$DZ$4:$DZ$38,'Status of Curriculum Completion'!$DP$4:$DP$38,"CIC MEA",'Status of Curriculum Completion'!$DU$4:$DU$38,"Tentative")+SUMIFS('Status of Curriculum Completion'!$EM$4:$EM$38,'Status of Curriculum Completion'!$EC$4:$EC$38,"CIC MEA",'Status of Curriculum Completion'!$EH$4:$EH$38,"Tentative")+SUMIFS('Status of Curriculum Completion'!$EZ$4:$EZ$38,'Status of Curriculum Completion'!$EP$4:$EP$38,"CIC MEA",'Status of Curriculum Completion'!$EU$4:$EU$38,"Tentative")</f>
        <v>0</v>
      </c>
      <c r="AP9" s="62">
        <f>SUMIFS('Status of Curriculum Completion'!$DZ$4:$DZ$38,'Status of Curriculum Completion'!$DP$4:$DP$38,"CIC MEA",'Status of Curriculum Completion'!$DV$4:$DV$38,"Complete")+SUMIFS('Status of Curriculum Completion'!$EM$4:$EM$38,'Status of Curriculum Completion'!$EC$4:$EC$38,"CIC MEA",'Status of Curriculum Completion'!$EI$4:$EI$38,"Complete")+SUMIFS('Status of Curriculum Completion'!$EZ$4:$EZ$38,'Status of Curriculum Completion'!$EP$4:$EP$38,"CIC MEA",'Status of Curriculum Completion'!$EV$4:$EV$38,"Complete")</f>
        <v>0</v>
      </c>
      <c r="AQ9" s="62">
        <f>SUMIFS('Status of Curriculum Completion'!$DZ$4:$DZ$38,'Status of Curriculum Completion'!$DP$4:$DP$38,"CIC MEA",'Status of Curriculum Completion'!$DV$4:$DV$38,"In Progress")+SUMIFS('Status of Curriculum Completion'!$EM$4:$EM$38,'Status of Curriculum Completion'!$EC$4:$EC$38,"CIC MEA",'Status of Curriculum Completion'!$EI$4:$EI$38,"In Progress")+SUMIFS('Status of Curriculum Completion'!$EZ$4:$EZ$38,'Status of Curriculum Completion'!$EP$4:$EP$38,"CIC MEA",'Status of Curriculum Completion'!$EV$4:$EV$38,"In Progress")</f>
        <v>0</v>
      </c>
      <c r="AR9" s="62">
        <f>SUMIFS('Status of Curriculum Completion'!$DZ$4:$DZ$38,'Status of Curriculum Completion'!$DP$4:$DP$38,"CIC MEA",'Status of Curriculum Completion'!$DV$4:$DV$38,"Planned")+SUMIFS('Status of Curriculum Completion'!$EM$4:$EM$38,'Status of Curriculum Completion'!$EC$4:$EC$38,"CIC MEA",'Status of Curriculum Completion'!$EI$4:$EI$38,"Planned")+SUMIFS('Status of Curriculum Completion'!$EZ$4:$EZ$38,'Status of Curriculum Completion'!$EP$4:$EP$38,"CIC MEA",'Status of Curriculum Completion'!$EV$4:$EV$38,"Planned")</f>
        <v>0</v>
      </c>
      <c r="AS9" s="62">
        <f>SUMIFS('Status of Curriculum Completion'!$DZ$4:$DZ$38,'Status of Curriculum Completion'!$DP$4:$DP$38,"CIC MEA",'Status of Curriculum Completion'!$DV$4:$DV$38,"Tentative")+SUMIFS('Status of Curriculum Completion'!$EM$4:$EM$38,'Status of Curriculum Completion'!$EC$4:$EC$38,"CIC MEA",'Status of Curriculum Completion'!$EI$4:$EI$38,"Tentative")+SUMIFS('Status of Curriculum Completion'!$EZ$4:$EZ$38,'Status of Curriculum Completion'!$EP$4:$EP$38,"CIC MEA",'Status of Curriculum Completion'!$EV$4:$EV$38,"Tentative")</f>
        <v>0</v>
      </c>
    </row>
    <row r="10" spans="1:45" ht="15" thickBot="1">
      <c r="A10" s="63" t="s">
        <v>1631</v>
      </c>
      <c r="B10" s="59">
        <f>SUMIFS('Status of Curriculum Completion'!M$4:M$38,'Status of Curriculum Completion'!C$4:C$38,"CIC NA",'Status of Curriculum Completion'!G$4:G$38,"Complete")+SUMIFS('Status of Curriculum Completion'!Z$4:Z$38,'Status of Curriculum Completion'!P$4:P$38,"CIC NA",'Status of Curriculum Completion'!T$4:T$38,"Complete")+SUMIFS('Status of Curriculum Completion'!AM$4:AM$38,'Status of Curriculum Completion'!AC$4:AC$38,"CIC NA",'Status of Curriculum Completion'!AG$4:AG$38,"Complete")</f>
        <v>60</v>
      </c>
      <c r="C10" s="59">
        <f>SUMIFS('Status of Curriculum Completion'!$M$4:$M$38,'Status of Curriculum Completion'!$C$4:$C$38,"CIC NA",'Status of Curriculum Completion'!$G$4:$G$38,"In progress")+SUMIFS('Status of Curriculum Completion'!$Z$4:$Z$38,'Status of Curriculum Completion'!$P$4:$P$38,"CIC NA",'Status of Curriculum Completion'!$T$4:$T$38,"In progress")+SUMIFS('Status of Curriculum Completion'!$AM$4:$AM$38,'Status of Curriculum Completion'!$AC$4:$AC$38,"CIC NA",'Status of Curriculum Completion'!$AG$4:$AG$38,"In progress")</f>
        <v>0</v>
      </c>
      <c r="D10" s="59">
        <f>SUMIFS('Status of Curriculum Completion'!$M$4:$M$38,'Status of Curriculum Completion'!$C$4:$C$38,"CIC NA",'Status of Curriculum Completion'!$G$4:$G$38,"Planned")+SUMIFS('Status of Curriculum Completion'!$Z$4:$Z$38,'Status of Curriculum Completion'!$P$4:$P$38,"CIC NA",'Status of Curriculum Completion'!$T$4:$T$38,"Planned")+SUMIFS('Status of Curriculum Completion'!$AM$4:$AM$38,'Status of Curriculum Completion'!$AC$4:$AC$38,"CIC NA",'Status of Curriculum Completion'!$AG$4:$AG$38,"Planned")</f>
        <v>0</v>
      </c>
      <c r="E10" s="59">
        <f>SUMIFS('Status of Curriculum Completion'!$M$4:$M$38,'Status of Curriculum Completion'!$C$4:$C$38,"CIC NA",'Status of Curriculum Completion'!$H$4:$H$38,"Complete")+SUMIFS('Status of Curriculum Completion'!$Z$4:$Z$38,'Status of Curriculum Completion'!$P$4:$P$38,"CIC NA",'Status of Curriculum Completion'!$U$4:$U$38,"Complete")+SUMIFS('Status of Curriculum Completion'!$AM$4:$AM$38,'Status of Curriculum Completion'!$AC$4:$AC$38,"CIC NA",'Status of Curriculum Completion'!$AH$4:$AH$38,"Complete")</f>
        <v>13</v>
      </c>
      <c r="F10" s="59">
        <f>SUMIFS('Status of Curriculum Completion'!$M$4:$M$38,'Status of Curriculum Completion'!$C$4:$C$38,"CIC NA",'Status of Curriculum Completion'!$H$4:$H$38,"In Progress")+SUMIFS('Status of Curriculum Completion'!$Z$4:$Z$38,'Status of Curriculum Completion'!$P$4:$P$38,"CIC NA",'Status of Curriculum Completion'!$U$4:$U$38,"In Progress")+SUMIFS('Status of Curriculum Completion'!$AM$4:$AM$38,'Status of Curriculum Completion'!$AC$4:$AC$38,"CIC NA",'Status of Curriculum Completion'!$AH$4:$AH$38,"In Progress")</f>
        <v>47</v>
      </c>
      <c r="G10" s="59">
        <f>SUMIFS('Status of Curriculum Completion'!$M$4:$M$38,'Status of Curriculum Completion'!$C$4:$C$38,"CIC NA",'Status of Curriculum Completion'!$H$4:$H$38,"Planned")+SUMIFS('Status of Curriculum Completion'!$Z$4:$Z$38,'Status of Curriculum Completion'!$P$4:$P$38,"CIC NA",'Status of Curriculum Completion'!$U$4:$U$38,"Planned")+SUMIFS('Status of Curriculum Completion'!$AM$4:$AM$38,'Status of Curriculum Completion'!$AC$4:$AC$38,"CIC NA",'Status of Curriculum Completion'!$AH$4:$AH$38,"Planned")</f>
        <v>0</v>
      </c>
      <c r="H10" s="59">
        <f>SUMIFS('Status of Curriculum Completion'!$M$4:$M$38,'Status of Curriculum Completion'!$C$4:$C$38,"CIC NA",'Status of Curriculum Completion'!$I$4:$I$38,"Complete")+SUMIFS('Status of Curriculum Completion'!$Z$4:$Z$38,'Status of Curriculum Completion'!$P$4:$P$38,"CIC NA",'Status of Curriculum Completion'!$V$4:$V$38,"Complete")+SUMIFS('Status of Curriculum Completion'!$AM$4:$AM$38,'Status of Curriculum Completion'!$AC$4:$AC$38,"CIC NA",'Status of Curriculum Completion'!$AI$4:$AI$38,"Complete")</f>
        <v>60</v>
      </c>
      <c r="I10" s="59">
        <f>SUMIFS('Status of Curriculum Completion'!$M$4:$M$38,'Status of Curriculum Completion'!$C$4:$C$38,"CIC NA",'Status of Curriculum Completion'!$I$4:$I$38,"In Progress")+SUMIFS('Status of Curriculum Completion'!$Z$4:$Z$38,'Status of Curriculum Completion'!$P$4:$P$38,"CIC NA",'Status of Curriculum Completion'!$V$4:$V$38,"In Progress")+SUMIFS('Status of Curriculum Completion'!$AM$4:$AM$38,'Status of Curriculum Completion'!$AC$4:$AC$38,"CIC NA",'Status of Curriculum Completion'!$AI$4:$AI$38,"In Progress")</f>
        <v>0</v>
      </c>
      <c r="J10" s="59">
        <f>SUMIFS('Status of Curriculum Completion'!$M$4:$M$38,'Status of Curriculum Completion'!$C$4:$C$38,"CIC NA",'Status of Curriculum Completion'!$I$4:$I$38,"Planned")+SUMIFS('Status of Curriculum Completion'!$Z$4:$Z$38,'Status of Curriculum Completion'!$P$4:$P$38,"CIC NA",'Status of Curriculum Completion'!$V$4:$V$38,"Planned")+SUMIFS('Status of Curriculum Completion'!$AM$4:$AM$38,'Status of Curriculum Completion'!$AC$4:$AC$38,"CIC NA",'Status of Curriculum Completion'!$AI$4:$AI$38,"Planned")</f>
        <v>0</v>
      </c>
      <c r="K10" s="60">
        <f>SUMIFS('Status of Curriculum Completion'!$AZ$4:$AZ$38,'Status of Curriculum Completion'!$AP$4:$AP$38,"CIC NA",'Status of Curriculum Completion'!$AT$4:$AT$38,"Complete")+SUMIFS('Status of Curriculum Completion'!$BM$4:$BM$38,'Status of Curriculum Completion'!$BC$4:$BC$38,"CIC NA",'Status of Curriculum Completion'!$BG$4:$BG$38,"Complete")+SUMIFS('Status of Curriculum Completion'!$BZ$4:$BZ$38,'Status of Curriculum Completion'!$BP$4:$BP$38,"CIC NA",'Status of Curriculum Completion'!$BT$4:$BT$38,"Complete")</f>
        <v>17</v>
      </c>
      <c r="L10" s="60">
        <f>SUMIFS('Status of Curriculum Completion'!$AZ$4:$AZ$38,'Status of Curriculum Completion'!$AP$4:$AP$38,"CIC NA",'Status of Curriculum Completion'!$AT$4:$AT$38,"In Progress")+SUMIFS('Status of Curriculum Completion'!$BM$4:$BM$38,'Status of Curriculum Completion'!$BC$4:$BC$38,"CIC NA",'Status of Curriculum Completion'!$BG$4:$BG$38,"In Progress")+SUMIFS('Status of Curriculum Completion'!$BZ$4:$BZ$38,'Status of Curriculum Completion'!$BP$4:$BP$38,"CIC NA",'Status of Curriculum Completion'!$BT$4:$BT$38,"In Progress")</f>
        <v>0</v>
      </c>
      <c r="M10" s="60">
        <f>SUMIFS('Status of Curriculum Completion'!$AZ$4:$AZ$38,'Status of Curriculum Completion'!$AP$4:$AP$38,"CIC NA",'Status of Curriculum Completion'!$AT$4:$AT$38,"Planned")+SUMIFS('Status of Curriculum Completion'!$BM$4:$BM$38,'Status of Curriculum Completion'!$BC$4:$BC$38,"CIC NA",'Status of Curriculum Completion'!$BG$4:$BG$38,"Planned")+SUMIFS('Status of Curriculum Completion'!$BZ$4:$BZ$38,'Status of Curriculum Completion'!$BP$4:$BP$38,"CIC NA",'Status of Curriculum Completion'!$BT$4:$BT$38,"Planned")</f>
        <v>0</v>
      </c>
      <c r="N10" s="60">
        <f>SUMIFS('Status of Curriculum Completion'!$AZ$4:$AZ$38,'Status of Curriculum Completion'!$AP$4:$AP$38,"CIC NA",'Status of Curriculum Completion'!$AU$4:$AU$38,"Complete")+SUMIFS('Status of Curriculum Completion'!$BM$4:$BM$38,'Status of Curriculum Completion'!$BC$4:$BC$38,"CIC NA",'Status of Curriculum Completion'!$BH$4:$BH$38,"Complete")+SUMIFS('Status of Curriculum Completion'!$BZ$4:$BZ$38,'Status of Curriculum Completion'!$BP$4:$BP$38,"CIC NA",'Status of Curriculum Completion'!$BU$4:$BU$38,"Complete")</f>
        <v>17</v>
      </c>
      <c r="O10" s="60">
        <f>SUMIFS('Status of Curriculum Completion'!$AZ$4:$AZ$38,'Status of Curriculum Completion'!$AP$4:$AP$38,"CIC NA",'Status of Curriculum Completion'!$AU$4:$AU$38,"In Progress")+SUMIFS('Status of Curriculum Completion'!$BM$4:$BM$38,'Status of Curriculum Completion'!$BC$4:$BC$38,"CIC NA",'Status of Curriculum Completion'!$BH$4:$BH$38,"In Progress")+SUMIFS('Status of Curriculum Completion'!$BZ$4:$BZ$38,'Status of Curriculum Completion'!$BP$4:$BP$38,"CIC NA",'Status of Curriculum Completion'!$BU$4:$BU$38,"In Progress")</f>
        <v>0</v>
      </c>
      <c r="P10" s="60">
        <f>SUMIFS('Status of Curriculum Completion'!$AZ$4:$AZ$38,'Status of Curriculum Completion'!$AP$4:$AP$38,"CIC NA",'Status of Curriculum Completion'!$AU$4:$AU$38,"Planned")+SUMIFS('Status of Curriculum Completion'!$BM$4:$BM$38,'Status of Curriculum Completion'!$BC$4:$BC$38,"CIC NA",'Status of Curriculum Completion'!$BH$4:$BH$38,"Planned")+SUMIFS('Status of Curriculum Completion'!$BZ$4:$BZ$38,'Status of Curriculum Completion'!$BP$4:$BP$38,"CIC NA",'Status of Curriculum Completion'!$BU$4:$BU$38,"Planned")</f>
        <v>0</v>
      </c>
      <c r="Q10" s="60">
        <f>SUMIFS('Status of Curriculum Completion'!$AZ$4:$AZ$38,'Status of Curriculum Completion'!$AP$4:$AP$38,"CIC NA",'Status of Curriculum Completion'!$AV$4:$AV$38,"Complete")+SUMIFS('Status of Curriculum Completion'!$BM$4:$BM$38,'Status of Curriculum Completion'!$BC$4:$BC$38,"CIC NA",'Status of Curriculum Completion'!$BI$4:$BI$38,"Complete")+SUMIFS('Status of Curriculum Completion'!$BZ$4:$BZ$38,'Status of Curriculum Completion'!$BP$4:$BP$38,"CIC NA",'Status of Curriculum Completion'!$BV$4:$BV$38,"Complete")</f>
        <v>17</v>
      </c>
      <c r="R10" s="60">
        <f>SUMIFS('Status of Curriculum Completion'!$AZ$4:$AZ$38,'Status of Curriculum Completion'!$AP$4:$AP$38,"CIC NA",'Status of Curriculum Completion'!$AV$4:$AV$38,"In Progress")+SUMIFS('Status of Curriculum Completion'!$BM$4:$BM$38,'Status of Curriculum Completion'!$BC$4:$BC$38,"CIC NA",'Status of Curriculum Completion'!$BI$4:$BI$38,"In Progress")+SUMIFS('Status of Curriculum Completion'!$BZ$4:$BZ$38,'Status of Curriculum Completion'!$BP$4:$BP$38,"CIC NA",'Status of Curriculum Completion'!$BV$4:$BV$38,"In Progress")</f>
        <v>0</v>
      </c>
      <c r="S10" s="60">
        <f>SUMIFS('Status of Curriculum Completion'!$AZ$4:$AZ$38,'Status of Curriculum Completion'!$AP$4:$AP$38,"CIC NA",'Status of Curriculum Completion'!$AV$4:$AV$38,"Planned")+SUMIFS('Status of Curriculum Completion'!$BM$4:$BM$38,'Status of Curriculum Completion'!$BC$4:$BC$38,"CIC NA",'Status of Curriculum Completion'!$BI$4:$BI$38,"Planned")+SUMIFS('Status of Curriculum Completion'!$BZ$4:$BZ$38,'Status of Curriculum Completion'!$BP$4:$BP$38,"CIC NA",'Status of Curriculum Completion'!$BV$4:$BV$38,"Planned")</f>
        <v>0</v>
      </c>
      <c r="U10" s="63" t="s">
        <v>1631</v>
      </c>
      <c r="V10" s="61">
        <f>SUMIFS('Status of Curriculum Completion'!$CM$4:$CM$38,'Status of Curriculum Completion'!$CC$4:$CC$38,"CIC NA",'Status of Curriculum Completion'!$CG$4:$CG$38,"Complete")+SUMIFS('Status of Curriculum Completion'!$CZ$4:$CZ$38,'Status of Curriculum Completion'!$CP$4:$CP$38,"CIC NA",'Status of Curriculum Completion'!$CT$4:$CT$38,"Complete")+SUMIFS('Status of Curriculum Completion'!$DM$4:$DM$38,'Status of Curriculum Completion'!$DC$4:$DC$38,"CIC NA",'Status of Curriculum Completion'!$DG$4:$DG$38,"Complete")</f>
        <v>75</v>
      </c>
      <c r="W10" s="61">
        <f>SUMIFS('Status of Curriculum Completion'!$CM$4:$CM$38,'Status of Curriculum Completion'!$CC$4:$CC$38,"CIC NA",'Status of Curriculum Completion'!$CG$4:$CG$38,"In Progress")+SUMIFS('Status of Curriculum Completion'!$CZ$4:$CZ$38,'Status of Curriculum Completion'!$CP$4:$CP$38,"CIC NA",'Status of Curriculum Completion'!$CT$4:$CT$38,"In Progress")+SUMIFS('Status of Curriculum Completion'!$DM$4:$DM$38,'Status of Curriculum Completion'!$DC$4:$DC$38,"CIC NA",'Status of Curriculum Completion'!$DG$4:$DG$38,"In Progress")</f>
        <v>0</v>
      </c>
      <c r="X10" s="61">
        <f>SUMIFS('Status of Curriculum Completion'!$CM$4:$CM$38,'Status of Curriculum Completion'!$CC$4:$CC$38,"CIC NA",'Status of Curriculum Completion'!$CG$4:$CG$38,"Planned")+SUMIFS('Status of Curriculum Completion'!$CZ$4:$CZ$38,'Status of Curriculum Completion'!$CP$4:$CP$38,"CIC NA",'Status of Curriculum Completion'!$CT$4:$CT$38,"Planned")+SUMIFS('Status of Curriculum Completion'!$DM$4:$DM$38,'Status of Curriculum Completion'!$DC$4:$DC$38,"CIC NA",'Status of Curriculum Completion'!$DG$4:$DG$38,"Planned")</f>
        <v>0</v>
      </c>
      <c r="Y10" s="61">
        <f>SUMIFS('Status of Curriculum Completion'!$CM$4:$CM$38,'Status of Curriculum Completion'!$CC$4:$CC$38,"CIC NA",'Status of Curriculum Completion'!$CG$4:$CG$38,"Tentative")+SUMIFS('Status of Curriculum Completion'!$CZ$4:$CZ$38,'Status of Curriculum Completion'!$CP$4:$CP$38,"CIC NA",'Status of Curriculum Completion'!$CT$4:$CT$38,"Tentative")+SUMIFS('Status of Curriculum Completion'!$DM$4:$DM$38,'Status of Curriculum Completion'!$DC$4:$DC$38,"CIC NA",'Status of Curriculum Completion'!$DG$4:$DG$38,"Tentative")</f>
        <v>0</v>
      </c>
      <c r="Z10" s="61">
        <f>SUMIFS('Status of Curriculum Completion'!$CM$4:$CM$38,'Status of Curriculum Completion'!$CC$4:$CC$38,"CIC NA",'Status of Curriculum Completion'!$CH$4:$CH$38,"Complete")+SUMIFS('Status of Curriculum Completion'!$CZ$4:$CZ$38,'Status of Curriculum Completion'!$CP$4:$CP$38,"CIC NA",'Status of Curriculum Completion'!$CU$4:$CU$38,"Complete")+SUMIFS('Status of Curriculum Completion'!$DM$4:$DM$38,'Status of Curriculum Completion'!$DC$4:$DC$38,"CIC NA",'Status of Curriculum Completion'!$DH$4:$DH$38,"Complete")</f>
        <v>75</v>
      </c>
      <c r="AA10" s="61">
        <f>SUMIFS('Status of Curriculum Completion'!$CM$4:$CM$38,'Status of Curriculum Completion'!$CC$4:$CC$38,"CIC NA",'Status of Curriculum Completion'!$CH$4:$CH$38,"In Progress")+SUMIFS('Status of Curriculum Completion'!$CZ$4:$CZ$38,'Status of Curriculum Completion'!$CP$4:$CP$38,"CIC NA",'Status of Curriculum Completion'!$CU$4:$CU$38,"In Progress")+SUMIFS('Status of Curriculum Completion'!$DM$4:$DM$38,'Status of Curriculum Completion'!$DC$4:$DC$38,"CIC NA",'Status of Curriculum Completion'!$DH$4:$DH$38,"In Progress")</f>
        <v>0</v>
      </c>
      <c r="AB10" s="61">
        <f>SUMIFS('Status of Curriculum Completion'!$CM$4:$CM$38,'Status of Curriculum Completion'!$CC$4:$CC$38,"CIC NA",'Status of Curriculum Completion'!$CH$4:$CH$38,"Planned")+SUMIFS('Status of Curriculum Completion'!$CZ$4:$CZ$38,'Status of Curriculum Completion'!$CP$4:$CP$38,"CIC NA",'Status of Curriculum Completion'!$CU$4:$CU$38,"Planned")+SUMIFS('Status of Curriculum Completion'!$DM$4:$DM$38,'Status of Curriculum Completion'!$DC$4:$DC$38,"CIC NA",'Status of Curriculum Completion'!$DH$4:$DH$38,"Planned")</f>
        <v>0</v>
      </c>
      <c r="AC10" s="61">
        <f>SUMIFS('Status of Curriculum Completion'!$CM$4:$CM$38,'Status of Curriculum Completion'!$CC$4:$CC$38,"CIC NA",'Status of Curriculum Completion'!$CH$4:$CH$38,"Tentative")+SUMIFS('Status of Curriculum Completion'!$CZ$4:$CZ$38,'Status of Curriculum Completion'!$CP$4:$CP$38,"CIC NA",'Status of Curriculum Completion'!$CU$4:$CU$38,"Tentative")+SUMIFS('Status of Curriculum Completion'!$DM$4:$DM$38,'Status of Curriculum Completion'!$DC$4:$DC$38,"CIC NA",'Status of Curriculum Completion'!$DH$4:$DH$38,"Tentative")</f>
        <v>0</v>
      </c>
      <c r="AD10" s="61">
        <f>SUMIFS('Status of Curriculum Completion'!$CM$4:$CM$38,'Status of Curriculum Completion'!$CC$4:$CC$38,"CIC NA",'Status of Curriculum Completion'!$CI$4:$CI$38,"Complete")+SUMIFS('Status of Curriculum Completion'!$CZ$4:$CZ$38,'Status of Curriculum Completion'!$CP$4:$CP$38,"CIC NA",'Status of Curriculum Completion'!$CV$4:$CV$38,"Complete")+SUMIFS('Status of Curriculum Completion'!$DM$4:$DM$38,'Status of Curriculum Completion'!$DC$4:$DC$38,"CIC NA",'Status of Curriculum Completion'!$DI$4:$DI$38,"Complete")</f>
        <v>39</v>
      </c>
      <c r="AE10" s="61">
        <f>SUMIFS('Status of Curriculum Completion'!$CM$4:$CM$38,'Status of Curriculum Completion'!$CC$4:$CC$38,"CIC NA",'Status of Curriculum Completion'!$CI$4:$CI$38,"In Progress")+SUMIFS('Status of Curriculum Completion'!$CZ$4:$CZ$38,'Status of Curriculum Completion'!$CP$4:$CP$38,"CIC NA",'Status of Curriculum Completion'!$CV$4:$CV$38,"In Progress")+SUMIFS('Status of Curriculum Completion'!$DM$4:$DM$38,'Status of Curriculum Completion'!$DC$4:$DC$38,"CIC NA",'Status of Curriculum Completion'!$DI$4:$DI$38,"In Progress")</f>
        <v>36</v>
      </c>
      <c r="AF10" s="61">
        <f>SUMIFS('Status of Curriculum Completion'!$CM$4:$CM$38,'Status of Curriculum Completion'!$CC$4:$CC$38,"CIC NA",'Status of Curriculum Completion'!$CI$4:$CI$38,"Planned")+SUMIFS('Status of Curriculum Completion'!$CZ$4:$CZ$38,'Status of Curriculum Completion'!$CP$4:$CP$38,"CIC NA",'Status of Curriculum Completion'!$CV$4:$CV$38,"Planned")+SUMIFS('Status of Curriculum Completion'!$DM$4:$DM$38,'Status of Curriculum Completion'!$DC$4:$DC$38,"CIC NA",'Status of Curriculum Completion'!$DI$4:$DI$38,"Planned")</f>
        <v>0</v>
      </c>
      <c r="AG10" s="61">
        <f>SUMIFS('Status of Curriculum Completion'!$CM$4:$CM$38,'Status of Curriculum Completion'!$CC$4:$CC$38,"CIC NA",'Status of Curriculum Completion'!$CI$4:$CI$38,"Tentative")+SUMIFS('Status of Curriculum Completion'!$CZ$4:$CZ$38,'Status of Curriculum Completion'!$CP$4:$CP$38,"CIC NA",'Status of Curriculum Completion'!$CV$4:$CV$38,"Tentative")+SUMIFS('Status of Curriculum Completion'!$DM$4:$DM$38,'Status of Curriculum Completion'!$DC$4:$DC$38,"CIC NA",'Status of Curriculum Completion'!$DI$4:$DI$38,"Tentative")</f>
        <v>0</v>
      </c>
      <c r="AH10" s="62">
        <f>SUMIFS('Status of Curriculum Completion'!$DZ$4:$DZ$38,'Status of Curriculum Completion'!$DP$4:$DP$38,"CIC NA",'Status of Curriculum Completion'!$DT$4:$DT$38,"Complete")+SUMIFS('Status of Curriculum Completion'!$EM$4:$EM$38,'Status of Curriculum Completion'!$EC$4:$EC$38,"CIC NA",'Status of Curriculum Completion'!$EG$4:$EG$38,"Complete")+SUMIFS('Status of Curriculum Completion'!$EZ$4:$EZ$38,'Status of Curriculum Completion'!$EP$4:$EP$38,"CIC NA",'Status of Curriculum Completion'!$ET$4:$ET$38,"Complete")</f>
        <v>0</v>
      </c>
      <c r="AI10" s="62">
        <f>SUMIFS('Status of Curriculum Completion'!$DZ$4:$DZ$38,'Status of Curriculum Completion'!$DP$4:$DP$38,"CIC NA",'Status of Curriculum Completion'!$DT$4:$DT$38,"In Progress")+SUMIFS('Status of Curriculum Completion'!$EM$4:$EM$38,'Status of Curriculum Completion'!$EC$4:$EC$38,"CIC NA",'Status of Curriculum Completion'!$EG$4:$EG$38,"In Progress")+SUMIFS('Status of Curriculum Completion'!$EZ$4:$EZ$38,'Status of Curriculum Completion'!$EP$4:$EP$38,"CIC NA",'Status of Curriculum Completion'!$ET$4:$ET$38,"In Progress")</f>
        <v>0</v>
      </c>
      <c r="AJ10" s="62">
        <f>SUMIFS('Status of Curriculum Completion'!$DZ$4:$DZ$38,'Status of Curriculum Completion'!$DP$4:$DP$38,"CIC NA",'Status of Curriculum Completion'!$DT$4:$DT$38,"Planned")+SUMIFS('Status of Curriculum Completion'!$EM$4:$EM$38,'Status of Curriculum Completion'!$EC$4:$EC$38,"CIC NA",'Status of Curriculum Completion'!$EG$4:$EG$38,"Planned")+SUMIFS('Status of Curriculum Completion'!$EZ$4:$EZ$38,'Status of Curriculum Completion'!$EP$4:$EP$38,"CIC NA",'Status of Curriculum Completion'!$ET$4:$ET$38,"Planned")</f>
        <v>0</v>
      </c>
      <c r="AK10" s="62">
        <f>SUMIFS('Status of Curriculum Completion'!$DZ$4:$DZ$38,'Status of Curriculum Completion'!$DP$4:$DP$38,"CIC NA",'Status of Curriculum Completion'!$DT$4:$DT$38,"Tentative")+SUMIFS('Status of Curriculum Completion'!$EM$4:$EM$38,'Status of Curriculum Completion'!$EC$4:$EC$38,"CIC NA",'Status of Curriculum Completion'!$EG$4:$EG$38,"Tentative")+SUMIFS('Status of Curriculum Completion'!$EZ$4:$EZ$38,'Status of Curriculum Completion'!$EP$4:$EP$38,"CIC NA",'Status of Curriculum Completion'!$ET$4:$ET$38,"Tentative")</f>
        <v>0</v>
      </c>
      <c r="AL10" s="62">
        <f>SUMIFS('Status of Curriculum Completion'!$DZ$4:$DZ$38,'Status of Curriculum Completion'!$DP$4:$DP$38,"CIC NA",'Status of Curriculum Completion'!$DU$4:$DU$38,"Complete")+SUMIFS('Status of Curriculum Completion'!$EM$4:$EM$38,'Status of Curriculum Completion'!$EC$4:$EC$38,"CIC NA",'Status of Curriculum Completion'!$EH$4:$EH$38,"Complete")+SUMIFS('Status of Curriculum Completion'!$EZ$4:$EZ$38,'Status of Curriculum Completion'!$EP$4:$EP$38,"CIC NA",'Status of Curriculum Completion'!$EU$4:$EU$38,"Complete")</f>
        <v>0</v>
      </c>
      <c r="AM10" s="62">
        <f>SUMIFS('Status of Curriculum Completion'!$DZ$4:$DZ$38,'Status of Curriculum Completion'!$DP$4:$DP$38,"CIC NA",'Status of Curriculum Completion'!$DU$4:$DU$38,"In Progress")+SUMIFS('Status of Curriculum Completion'!$EM$4:$EM$38,'Status of Curriculum Completion'!$EC$4:$EC$38,"CIC NA",'Status of Curriculum Completion'!$EH$4:$EH$38,"In Progress")+SUMIFS('Status of Curriculum Completion'!$EZ$4:$EZ$38,'Status of Curriculum Completion'!$EP$4:$EP$38,"CIC NA",'Status of Curriculum Completion'!$EU$4:$EU$38,"In Progress")</f>
        <v>0</v>
      </c>
      <c r="AN10" s="62">
        <f>SUMIFS('Status of Curriculum Completion'!$DZ$4:$DZ$38,'Status of Curriculum Completion'!$DP$4:$DP$38,"CIC NA",'Status of Curriculum Completion'!$DU$4:$DU$38,"Planned")+SUMIFS('Status of Curriculum Completion'!$EM$4:$EM$38,'Status of Curriculum Completion'!$EC$4:$EC$38,"CIC NA",'Status of Curriculum Completion'!$EH$4:$EH$38,"Planned")+SUMIFS('Status of Curriculum Completion'!$EZ$4:$EZ$38,'Status of Curriculum Completion'!$EP$4:$EP$38,"CIC NA",'Status of Curriculum Completion'!$EU$4:$EU$38,"Planned")</f>
        <v>0</v>
      </c>
      <c r="AO10" s="62">
        <f>SUMIFS('Status of Curriculum Completion'!$DZ$4:$DZ$38,'Status of Curriculum Completion'!$DP$4:$DP$38,"CIC NA",'Status of Curriculum Completion'!$DU$4:$DU$38,"Tentative")+SUMIFS('Status of Curriculum Completion'!$EM$4:$EM$38,'Status of Curriculum Completion'!$EC$4:$EC$38,"CIC NA",'Status of Curriculum Completion'!$EH$4:$EH$38,"Tentative")+SUMIFS('Status of Curriculum Completion'!$EZ$4:$EZ$38,'Status of Curriculum Completion'!$EP$4:$EP$38,"CIC NA",'Status of Curriculum Completion'!$EU$4:$EU$38,"Tentative")</f>
        <v>0</v>
      </c>
      <c r="AP10" s="62">
        <f>SUMIFS('Status of Curriculum Completion'!$DZ$4:$DZ$38,'Status of Curriculum Completion'!$DP$4:$DP$38,"CIC NA",'Status of Curriculum Completion'!$DV$4:$DV$38,"Complete")+SUMIFS('Status of Curriculum Completion'!$EM$4:$EM$38,'Status of Curriculum Completion'!$EC$4:$EC$38,"CIC NA",'Status of Curriculum Completion'!$EI$4:$EI$38,"Complete")+SUMIFS('Status of Curriculum Completion'!$EZ$4:$EZ$38,'Status of Curriculum Completion'!$EP$4:$EP$38,"CIC NA",'Status of Curriculum Completion'!$EV$4:$EV$38,"Complete")</f>
        <v>0</v>
      </c>
      <c r="AQ10" s="62">
        <f>SUMIFS('Status of Curriculum Completion'!$DZ$4:$DZ$38,'Status of Curriculum Completion'!$DP$4:$DP$38,"CIC NA",'Status of Curriculum Completion'!$DV$4:$DV$38,"In Progress")+SUMIFS('Status of Curriculum Completion'!$EM$4:$EM$38,'Status of Curriculum Completion'!$EC$4:$EC$38,"CIC NA",'Status of Curriculum Completion'!$EI$4:$EI$38,"In Progress")+SUMIFS('Status of Curriculum Completion'!$EZ$4:$EZ$38,'Status of Curriculum Completion'!$EP$4:$EP$38,"CIC NA",'Status of Curriculum Completion'!$EV$4:$EV$38,"In Progress")</f>
        <v>0</v>
      </c>
      <c r="AR10" s="62">
        <f>SUMIFS('Status of Curriculum Completion'!$DZ$4:$DZ$38,'Status of Curriculum Completion'!$DP$4:$DP$38,"CIC NA",'Status of Curriculum Completion'!$DV$4:$DV$38,"Planned")+SUMIFS('Status of Curriculum Completion'!$EM$4:$EM$38,'Status of Curriculum Completion'!$EC$4:$EC$38,"CIC NA",'Status of Curriculum Completion'!$EI$4:$EI$38,"Planned")+SUMIFS('Status of Curriculum Completion'!$EZ$4:$EZ$38,'Status of Curriculum Completion'!$EP$4:$EP$38,"CIC NA",'Status of Curriculum Completion'!$EV$4:$EV$38,"Planned")</f>
        <v>0</v>
      </c>
      <c r="AS10" s="62">
        <f>SUMIFS('Status of Curriculum Completion'!$DZ$4:$DZ$38,'Status of Curriculum Completion'!$DP$4:$DP$38,"CIC NA",'Status of Curriculum Completion'!$DV$4:$DV$38,"Tentative")+SUMIFS('Status of Curriculum Completion'!$EM$4:$EM$38,'Status of Curriculum Completion'!$EC$4:$EC$38,"CIC NA",'Status of Curriculum Completion'!$EI$4:$EI$38,"Tentative")+SUMIFS('Status of Curriculum Completion'!$EZ$4:$EZ$38,'Status of Curriculum Completion'!$EP$4:$EP$38,"CIC NA",'Status of Curriculum Completion'!$EV$4:$EV$38,"Tentative")</f>
        <v>0</v>
      </c>
    </row>
    <row r="11" spans="1:45" ht="44" thickBot="1">
      <c r="A11" s="63" t="s">
        <v>1632</v>
      </c>
      <c r="B11" s="59">
        <f>SUMIFS('Status of Curriculum Completion'!M$4:M$38,'Status of Curriculum Completion'!C$4:C$38,"PH",'Status of Curriculum Completion'!G$4:G$38,"Complete")+SUMIFS('Status of Curriculum Completion'!Z$4:Z$38,'Status of Curriculum Completion'!P$4:P$38,"PH",'Status of Curriculum Completion'!T$4:T$38,"Complete")+SUMIFS('Status of Curriculum Completion'!AM$4:AM$38,'Status of Curriculum Completion'!AC$4:AC$38,"PH",'Status of Curriculum Completion'!AG$4:AG$38,"Complete")</f>
        <v>0</v>
      </c>
      <c r="C11" s="59">
        <f>SUMIFS('Status of Curriculum Completion'!$M$4:$M$38,'Status of Curriculum Completion'!$C$4:$C$38,"PH",'Status of Curriculum Completion'!$G$4:$G$38,"In progress")+SUMIFS('Status of Curriculum Completion'!$Z$4:$Z$38,'Status of Curriculum Completion'!$P$4:$P$38,"PH",'Status of Curriculum Completion'!$T$4:$T$38,"In progress")+SUMIFS('Status of Curriculum Completion'!$AM$4:$AM$38,'Status of Curriculum Completion'!$AC$4:$AC$38,"PH",'Status of Curriculum Completion'!$AG$4:$AG$38,"In progress")</f>
        <v>0</v>
      </c>
      <c r="D11" s="59">
        <f>SUMIFS('Status of Curriculum Completion'!$M$4:$M$38,'Status of Curriculum Completion'!$C$4:$C$38,"PH",'Status of Curriculum Completion'!$G$4:$G$38,"Planned")+SUMIFS('Status of Curriculum Completion'!$Z$4:$Z$38,'Status of Curriculum Completion'!$P$4:$P$38,"PH",'Status of Curriculum Completion'!$T$4:$T$38,"Planned")+SUMIFS('Status of Curriculum Completion'!$AM$4:$AM$38,'Status of Curriculum Completion'!$AC$4:$AC$38,"PH",'Status of Curriculum Completion'!$AG$4:$AG$38,"Planned")</f>
        <v>0</v>
      </c>
      <c r="E11" s="59">
        <f>SUMIFS('Status of Curriculum Completion'!$M$4:$M$38,'Status of Curriculum Completion'!$C$4:$C$38,"PH",'Status of Curriculum Completion'!$H$4:$H$38,"Complete")+SUMIFS('Status of Curriculum Completion'!$Z$4:$Z$38,'Status of Curriculum Completion'!$P$4:$P$38,"PH",'Status of Curriculum Completion'!$U$4:$U$38,"Complete")+SUMIFS('Status of Curriculum Completion'!$AM$4:$AM$38,'Status of Curriculum Completion'!$AC$4:$AC$38,"PH",'Status of Curriculum Completion'!$AH$4:$AH$38,"Complete")</f>
        <v>0</v>
      </c>
      <c r="F11" s="59">
        <f>SUMIFS('Status of Curriculum Completion'!$M$4:$M$38,'Status of Curriculum Completion'!$C$4:$C$38,"PH",'Status of Curriculum Completion'!$H$4:$H$38,"In Progress")+SUMIFS('Status of Curriculum Completion'!$Z$4:$Z$38,'Status of Curriculum Completion'!$P$4:$P$38,"PH",'Status of Curriculum Completion'!$U$4:$U$38,"In Progress")+SUMIFS('Status of Curriculum Completion'!$AM$4:$AM$38,'Status of Curriculum Completion'!$AC$4:$AC$38,"PH",'Status of Curriculum Completion'!$AH$4:$AH$38,"In Progress")</f>
        <v>0</v>
      </c>
      <c r="G11" s="59">
        <f>SUMIFS('Status of Curriculum Completion'!$M$4:$M$38,'Status of Curriculum Completion'!$C$4:$C$38,"PH",'Status of Curriculum Completion'!$H$4:$H$38,"Planned")+SUMIFS('Status of Curriculum Completion'!$Z$4:$Z$38,'Status of Curriculum Completion'!$P$4:$P$38,"PH",'Status of Curriculum Completion'!$U$4:$U$38,"Planned")+SUMIFS('Status of Curriculum Completion'!$AM$4:$AM$38,'Status of Curriculum Completion'!$AC$4:$AC$38,"PH",'Status of Curriculum Completion'!$AH$4:$AH$38,"Planned")</f>
        <v>0</v>
      </c>
      <c r="H11" s="59">
        <f>SUMIFS('Status of Curriculum Completion'!$M$4:$M$38,'Status of Curriculum Completion'!$C$4:$C$38,"PH",'Status of Curriculum Completion'!$I$4:$I$38,"Complete")+SUMIFS('Status of Curriculum Completion'!$Z$4:$Z$38,'Status of Curriculum Completion'!$P$4:$P$38,"PH",'Status of Curriculum Completion'!$V$4:$V$38,"Complete")+SUMIFS('Status of Curriculum Completion'!$AM$4:$AM$38,'Status of Curriculum Completion'!$AC$4:$AC$38,"PH",'Status of Curriculum Completion'!$AI$4:$AI$38,"Complete")</f>
        <v>0</v>
      </c>
      <c r="I11" s="59">
        <f>SUMIFS('Status of Curriculum Completion'!$M$4:$M$38,'Status of Curriculum Completion'!$C$4:$C$38,"PH",'Status of Curriculum Completion'!$I$4:$I$38,"In Progress")+SUMIFS('Status of Curriculum Completion'!$Z$4:$Z$38,'Status of Curriculum Completion'!$P$4:$P$38,"PH",'Status of Curriculum Completion'!$V$4:$V$38,"In Progress")+SUMIFS('Status of Curriculum Completion'!$AM$4:$AM$38,'Status of Curriculum Completion'!$AC$4:$AC$38,"PH",'Status of Curriculum Completion'!$AI$4:$AI$38,"In Progress")</f>
        <v>0</v>
      </c>
      <c r="J11" s="59">
        <f>SUMIFS('Status of Curriculum Completion'!$M$4:$M$38,'Status of Curriculum Completion'!$C$4:$C$38,"PH",'Status of Curriculum Completion'!$I$4:$I$38,"Planned")+SUMIFS('Status of Curriculum Completion'!$Z$4:$Z$38,'Status of Curriculum Completion'!$P$4:$P$38,"PH",'Status of Curriculum Completion'!$V$4:$V$38,"Planned")+SUMIFS('Status of Curriculum Completion'!$AM$4:$AM$38,'Status of Curriculum Completion'!$AC$4:$AC$38,"PH",'Status of Curriculum Completion'!$AI$4:$AI$38,"Planned")</f>
        <v>0</v>
      </c>
      <c r="K11" s="60">
        <f>SUMIFS('Status of Curriculum Completion'!$AZ$4:$AZ$38,'Status of Curriculum Completion'!$AP$4:$AP$38,"PH",'Status of Curriculum Completion'!$AT$4:$AT$38,"Complete")+SUMIFS('Status of Curriculum Completion'!$BM$4:$BM$38,'Status of Curriculum Completion'!$BC$4:$BC$38,"PH",'Status of Curriculum Completion'!$BG$4:$BG$38,"Complete")+SUMIFS('Status of Curriculum Completion'!$BZ$4:$BZ$38,'Status of Curriculum Completion'!$BP$4:$BP$38,"PH",'Status of Curriculum Completion'!$BT$4:$BT$38,"Complete")</f>
        <v>0</v>
      </c>
      <c r="L11" s="60">
        <f>SUMIFS('Status of Curriculum Completion'!$AZ$4:$AZ$38,'Status of Curriculum Completion'!$AP$4:$AP$38,"PH",'Status of Curriculum Completion'!$AT$4:$AT$38,"In Progress")+SUMIFS('Status of Curriculum Completion'!$BM$4:$BM$38,'Status of Curriculum Completion'!$BC$4:$BC$38,"PH",'Status of Curriculum Completion'!$BG$4:$BG$38,"In Progress")+SUMIFS('Status of Curriculum Completion'!$BZ$4:$BZ$38,'Status of Curriculum Completion'!$BP$4:$BP$38,"PH",'Status of Curriculum Completion'!$BT$4:$BT$38,"In Progress")</f>
        <v>0</v>
      </c>
      <c r="M11" s="60">
        <f>SUMIFS('Status of Curriculum Completion'!$AZ$4:$AZ$38,'Status of Curriculum Completion'!$AP$4:$AP$38,"PH",'Status of Curriculum Completion'!$AT$4:$AT$38,"Planned")+SUMIFS('Status of Curriculum Completion'!$BM$4:$BM$38,'Status of Curriculum Completion'!$BC$4:$BC$38,"PH",'Status of Curriculum Completion'!$BG$4:$BG$38,"Planned")+SUMIFS('Status of Curriculum Completion'!$BZ$4:$BZ$38,'Status of Curriculum Completion'!$BP$4:$BP$38,"PH",'Status of Curriculum Completion'!$BT$4:$BT$38,"Planned")</f>
        <v>0</v>
      </c>
      <c r="N11" s="60">
        <f>SUMIFS('Status of Curriculum Completion'!$AZ$4:$AZ$38,'Status of Curriculum Completion'!$AP$4:$AP$38,"PH",'Status of Curriculum Completion'!$AU$4:$AU$38,"Complete")+SUMIFS('Status of Curriculum Completion'!$BM$4:$BM$38,'Status of Curriculum Completion'!$BC$4:$BC$38,"PH",'Status of Curriculum Completion'!$BH$4:$BH$38,"Complete")+SUMIFS('Status of Curriculum Completion'!$BZ$4:$BZ$38,'Status of Curriculum Completion'!$BP$4:$BP$38,"PH",'Status of Curriculum Completion'!$BU$4:$BU$38,"Complete")</f>
        <v>0</v>
      </c>
      <c r="O11" s="60">
        <f>SUMIFS('Status of Curriculum Completion'!$AZ$4:$AZ$38,'Status of Curriculum Completion'!$AP$4:$AP$38,"PH",'Status of Curriculum Completion'!$AU$4:$AU$38,"In Progress")+SUMIFS('Status of Curriculum Completion'!$BM$4:$BM$38,'Status of Curriculum Completion'!$BC$4:$BC$38,"PH",'Status of Curriculum Completion'!$BH$4:$BH$38,"In Progress")+SUMIFS('Status of Curriculum Completion'!$BZ$4:$BZ$38,'Status of Curriculum Completion'!$BP$4:$BP$38,"PH",'Status of Curriculum Completion'!$BU$4:$BU$38,"In Progress")</f>
        <v>0</v>
      </c>
      <c r="P11" s="60">
        <f>SUMIFS('Status of Curriculum Completion'!$AZ$4:$AZ$38,'Status of Curriculum Completion'!$AP$4:$AP$38,"PH",'Status of Curriculum Completion'!$AU$4:$AU$38,"Planned")+SUMIFS('Status of Curriculum Completion'!$BM$4:$BM$38,'Status of Curriculum Completion'!$BC$4:$BC$38,"PH",'Status of Curriculum Completion'!$BH$4:$BH$38,"Planned")+SUMIFS('Status of Curriculum Completion'!$BZ$4:$BZ$38,'Status of Curriculum Completion'!$BP$4:$BP$38,"PH",'Status of Curriculum Completion'!$BU$4:$BU$38,"Planned")</f>
        <v>0</v>
      </c>
      <c r="Q11" s="60">
        <f>SUMIFS('Status of Curriculum Completion'!$AZ$4:$AZ$38,'Status of Curriculum Completion'!$AP$4:$AP$38,"PH",'Status of Curriculum Completion'!$AV$4:$AV$38,"Complete")+SUMIFS('Status of Curriculum Completion'!$BM$4:$BM$38,'Status of Curriculum Completion'!$BC$4:$BC$38,"PH",'Status of Curriculum Completion'!$BI$4:$BI$38,"Complete")+SUMIFS('Status of Curriculum Completion'!$BZ$4:$BZ$38,'Status of Curriculum Completion'!$BP$4:$BP$38,"PH",'Status of Curriculum Completion'!$BV$4:$BV$38,"Complete")</f>
        <v>0</v>
      </c>
      <c r="R11" s="60">
        <f>SUMIFS('Status of Curriculum Completion'!$AZ$4:$AZ$38,'Status of Curriculum Completion'!$AP$4:$AP$38,"PH",'Status of Curriculum Completion'!$AV$4:$AV$38,"In Progress")+SUMIFS('Status of Curriculum Completion'!$BM$4:$BM$38,'Status of Curriculum Completion'!$BC$4:$BC$38,"PH",'Status of Curriculum Completion'!$BI$4:$BI$38,"In Progress")+SUMIFS('Status of Curriculum Completion'!$BZ$4:$BZ$38,'Status of Curriculum Completion'!$BP$4:$BP$38,"PH",'Status of Curriculum Completion'!$BV$4:$BV$38,"In Progress")</f>
        <v>0</v>
      </c>
      <c r="S11" s="60">
        <f>SUMIFS('Status of Curriculum Completion'!$AZ$4:$AZ$38,'Status of Curriculum Completion'!$AP$4:$AP$38,"PH",'Status of Curriculum Completion'!$AV$4:$AV$38,"Planned")+SUMIFS('Status of Curriculum Completion'!$BM$4:$BM$38,'Status of Curriculum Completion'!$BC$4:$BC$38,"PH",'Status of Curriculum Completion'!$BI$4:$BI$38,"Planned")+SUMIFS('Status of Curriculum Completion'!$BZ$4:$BZ$38,'Status of Curriculum Completion'!$BP$4:$BP$38,"PH",'Status of Curriculum Completion'!$BV$4:$BV$38,"Planned")</f>
        <v>0</v>
      </c>
      <c r="U11" s="63" t="s">
        <v>1632</v>
      </c>
      <c r="V11" s="61">
        <f>SUMIFS('Status of Curriculum Completion'!$CM$4:$CM$38,'Status of Curriculum Completion'!$CC$4:$CC$38,"PH",'Status of Curriculum Completion'!$CG$4:$CG$38,"Complete")+SUMIFS('Status of Curriculum Completion'!$CZ$4:$CZ$38,'Status of Curriculum Completion'!$CP$4:$CP$38,"PH",'Status of Curriculum Completion'!$CT$4:$CT$38,"Complete")+SUMIFS('Status of Curriculum Completion'!$DM$4:$DM$38,'Status of Curriculum Completion'!$DC$4:$DC$38,"PH",'Status of Curriculum Completion'!$DG$4:$DG$38,"Complete")</f>
        <v>17</v>
      </c>
      <c r="W11" s="61">
        <f>SUMIFS('Status of Curriculum Completion'!$CM$4:$CM$38,'Status of Curriculum Completion'!$CC$4:$CC$38,"PH",'Status of Curriculum Completion'!$CG$4:$CG$38,"In Progress")+SUMIFS('Status of Curriculum Completion'!$CZ$4:$CZ$38,'Status of Curriculum Completion'!$CP$4:$CP$38,"PH",'Status of Curriculum Completion'!$CT$4:$CT$38,"In Progress")+SUMIFS('Status of Curriculum Completion'!$DM$4:$DM$38,'Status of Curriculum Completion'!$DC$4:$DC$38,"PH",'Status of Curriculum Completion'!$DG$4:$DG$38,"In Progress")</f>
        <v>0</v>
      </c>
      <c r="X11" s="61">
        <f>SUMIFS('Status of Curriculum Completion'!$CM$4:$CM$38,'Status of Curriculum Completion'!$CC$4:$CC$38,"PH",'Status of Curriculum Completion'!$CG$4:$CG$38,"Planned")+SUMIFS('Status of Curriculum Completion'!$CZ$4:$CZ$38,'Status of Curriculum Completion'!$CP$4:$CP$38,"PH",'Status of Curriculum Completion'!$CT$4:$CT$38,"Planned")+SUMIFS('Status of Curriculum Completion'!$DM$4:$DM$38,'Status of Curriculum Completion'!$DC$4:$DC$38,"PH",'Status of Curriculum Completion'!$DG$4:$DG$38,"Planned")</f>
        <v>0</v>
      </c>
      <c r="Y11" s="61">
        <f>SUMIFS('Status of Curriculum Completion'!$CM$4:$CM$38,'Status of Curriculum Completion'!$CC$4:$CC$38,"PH",'Status of Curriculum Completion'!$CG$4:$CG$38,"Tentative")+SUMIFS('Status of Curriculum Completion'!$CZ$4:$CZ$38,'Status of Curriculum Completion'!$CP$4:$CP$38,"PH",'Status of Curriculum Completion'!$CT$4:$CT$38,"Tentative")+SUMIFS('Status of Curriculum Completion'!$DM$4:$DM$38,'Status of Curriculum Completion'!$DC$4:$DC$38,"PH",'Status of Curriculum Completion'!$DG$4:$DG$38,"Tentative")</f>
        <v>0</v>
      </c>
      <c r="Z11" s="61">
        <f>SUMIFS('Status of Curriculum Completion'!$CM$4:$CM$38,'Status of Curriculum Completion'!$CC$4:$CC$38,"PH",'Status of Curriculum Completion'!$CH$4:$CH$38,"Complete")+SUMIFS('Status of Curriculum Completion'!$CZ$4:$CZ$38,'Status of Curriculum Completion'!$CP$4:$CP$38,"PH",'Status of Curriculum Completion'!$CU$4:$CU$38,"Complete")+SUMIFS('Status of Curriculum Completion'!$DM$4:$DM$38,'Status of Curriculum Completion'!$DC$4:$DC$38,"PH",'Status of Curriculum Completion'!$DH$4:$DH$38,"Complete")</f>
        <v>17</v>
      </c>
      <c r="AA11" s="61">
        <f>SUMIFS('Status of Curriculum Completion'!$CM$4:$CM$38,'Status of Curriculum Completion'!$CC$4:$CC$38,"PH",'Status of Curriculum Completion'!$CH$4:$CH$38,"In Progress")+SUMIFS('Status of Curriculum Completion'!$CZ$4:$CZ$38,'Status of Curriculum Completion'!$CP$4:$CP$38,"PH",'Status of Curriculum Completion'!$CU$4:$CU$38,"In Progress")+SUMIFS('Status of Curriculum Completion'!$DM$4:$DM$38,'Status of Curriculum Completion'!$DC$4:$DC$38,"PH",'Status of Curriculum Completion'!$DH$4:$DH$38,"In Progress")</f>
        <v>0</v>
      </c>
      <c r="AB11" s="61">
        <f>SUMIFS('Status of Curriculum Completion'!$CM$4:$CM$38,'Status of Curriculum Completion'!$CC$4:$CC$38,"PH",'Status of Curriculum Completion'!$CH$4:$CH$38,"Planned")+SUMIFS('Status of Curriculum Completion'!$CZ$4:$CZ$38,'Status of Curriculum Completion'!$CP$4:$CP$38,"PH",'Status of Curriculum Completion'!$CU$4:$CU$38,"Planned")+SUMIFS('Status of Curriculum Completion'!$DM$4:$DM$38,'Status of Curriculum Completion'!$DC$4:$DC$38,"PH",'Status of Curriculum Completion'!$DH$4:$DH$38,"Planned")</f>
        <v>0</v>
      </c>
      <c r="AC11" s="61">
        <f>SUMIFS('Status of Curriculum Completion'!$CM$4:$CM$38,'Status of Curriculum Completion'!$CC$4:$CC$38,"PH",'Status of Curriculum Completion'!$CH$4:$CH$38,"Tentative")+SUMIFS('Status of Curriculum Completion'!$CZ$4:$CZ$38,'Status of Curriculum Completion'!$CP$4:$CP$38,"PH",'Status of Curriculum Completion'!$CU$4:$CU$38,"Tentative")+SUMIFS('Status of Curriculum Completion'!$DM$4:$DM$38,'Status of Curriculum Completion'!$DC$4:$DC$38,"PH",'Status of Curriculum Completion'!$DH$4:$DH$38,"Tentative")</f>
        <v>0</v>
      </c>
      <c r="AD11" s="61">
        <f>SUMIFS('Status of Curriculum Completion'!$CM$4:$CM$38,'Status of Curriculum Completion'!$CC$4:$CC$38,"PH",'Status of Curriculum Completion'!$CI$4:$CI$38,"Complete")+SUMIFS('Status of Curriculum Completion'!$CZ$4:$CZ$38,'Status of Curriculum Completion'!$CP$4:$CP$38,"PH",'Status of Curriculum Completion'!$CV$4:$CV$38,"Complete")+SUMIFS('Status of Curriculum Completion'!$DM$4:$DM$38,'Status of Curriculum Completion'!$DC$4:$DC$38,"PH",'Status of Curriculum Completion'!$DI$4:$DI$38,"Complete")</f>
        <v>17</v>
      </c>
      <c r="AE11" s="61">
        <f>SUMIFS('Status of Curriculum Completion'!$CM$4:$CM$38,'Status of Curriculum Completion'!$CC$4:$CC$38,"PH",'Status of Curriculum Completion'!$CI$4:$CI$38,"In Progress")+SUMIFS('Status of Curriculum Completion'!$CZ$4:$CZ$38,'Status of Curriculum Completion'!$CP$4:$CP$38,"PH",'Status of Curriculum Completion'!$CV$4:$CV$38,"In Progress")+SUMIFS('Status of Curriculum Completion'!$DM$4:$DM$38,'Status of Curriculum Completion'!$DC$4:$DC$38,"PH",'Status of Curriculum Completion'!$DI$4:$DI$38,"In Progress")</f>
        <v>0</v>
      </c>
      <c r="AF11" s="61">
        <f>SUMIFS('Status of Curriculum Completion'!$CM$4:$CM$38,'Status of Curriculum Completion'!$CC$4:$CC$38,"PH",'Status of Curriculum Completion'!$CI$4:$CI$38,"Planned")+SUMIFS('Status of Curriculum Completion'!$CZ$4:$CZ$38,'Status of Curriculum Completion'!$CP$4:$CP$38,"PH",'Status of Curriculum Completion'!$CV$4:$CV$38,"Planned")+SUMIFS('Status of Curriculum Completion'!$DM$4:$DM$38,'Status of Curriculum Completion'!$DC$4:$DC$38,"PH",'Status of Curriculum Completion'!$DI$4:$DI$38,"Planned")</f>
        <v>0</v>
      </c>
      <c r="AG11" s="61">
        <f>SUMIFS('Status of Curriculum Completion'!$CM$4:$CM$38,'Status of Curriculum Completion'!$CC$4:$CC$38,"PH",'Status of Curriculum Completion'!$CI$4:$CI$38,"Tentative")+SUMIFS('Status of Curriculum Completion'!$CZ$4:$CZ$38,'Status of Curriculum Completion'!$CP$4:$CP$38,"PH",'Status of Curriculum Completion'!$CV$4:$CV$38,"Tentative")+SUMIFS('Status of Curriculum Completion'!$DM$4:$DM$38,'Status of Curriculum Completion'!$DC$4:$DC$38,"PH",'Status of Curriculum Completion'!$DI$4:$DI$38,"Tentative")</f>
        <v>0</v>
      </c>
      <c r="AH11" s="62">
        <f>SUMIFS('Status of Curriculum Completion'!$DZ$4:$DZ$38,'Status of Curriculum Completion'!$DP$4:$DP$38,"PH",'Status of Curriculum Completion'!$DT$4:$DT$38,"Complete")+SUMIFS('Status of Curriculum Completion'!$EM$4:$EM$38,'Status of Curriculum Completion'!$EC$4:$EC$38,"PH",'Status of Curriculum Completion'!$EG$4:$EG$38,"Complete")+SUMIFS('Status of Curriculum Completion'!$EZ$4:$EZ$38,'Status of Curriculum Completion'!$EP$4:$EP$38,"PH",'Status of Curriculum Completion'!$ET$4:$ET$38,"Complete")</f>
        <v>0</v>
      </c>
      <c r="AI11" s="62">
        <f>SUMIFS('Status of Curriculum Completion'!$DZ$4:$DZ$38,'Status of Curriculum Completion'!$DP$4:$DP$38,"PH",'Status of Curriculum Completion'!$DT$4:$DT$38,"In Progress")+SUMIFS('Status of Curriculum Completion'!$EM$4:$EM$38,'Status of Curriculum Completion'!$EC$4:$EC$38,"PH",'Status of Curriculum Completion'!$EG$4:$EG$38,"In Progress")+SUMIFS('Status of Curriculum Completion'!$EZ$4:$EZ$38,'Status of Curriculum Completion'!$EP$4:$EP$38,"PH",'Status of Curriculum Completion'!$ET$4:$ET$38,"In Progress")</f>
        <v>0</v>
      </c>
      <c r="AJ11" s="62">
        <f>SUMIFS('Status of Curriculum Completion'!$DZ$4:$DZ$38,'Status of Curriculum Completion'!$DP$4:$DP$38,"PH",'Status of Curriculum Completion'!$DT$4:$DT$38,"Planned")+SUMIFS('Status of Curriculum Completion'!$EM$4:$EM$38,'Status of Curriculum Completion'!$EC$4:$EC$38,"PH",'Status of Curriculum Completion'!$EG$4:$EG$38,"Planned")+SUMIFS('Status of Curriculum Completion'!$EZ$4:$EZ$38,'Status of Curriculum Completion'!$EP$4:$EP$38,"PH",'Status of Curriculum Completion'!$ET$4:$ET$38,"Planned")</f>
        <v>0</v>
      </c>
      <c r="AK11" s="62">
        <f>SUMIFS('Status of Curriculum Completion'!$DZ$4:$DZ$38,'Status of Curriculum Completion'!$DP$4:$DP$38,"PH",'Status of Curriculum Completion'!$DT$4:$DT$38,"Tentative")+SUMIFS('Status of Curriculum Completion'!$EM$4:$EM$38,'Status of Curriculum Completion'!$EC$4:$EC$38,"PH",'Status of Curriculum Completion'!$EG$4:$EG$38,"Tentative")+SUMIFS('Status of Curriculum Completion'!$EZ$4:$EZ$38,'Status of Curriculum Completion'!$EP$4:$EP$38,"PH",'Status of Curriculum Completion'!$ET$4:$ET$38,"Tentative")</f>
        <v>0</v>
      </c>
      <c r="AL11" s="62">
        <f>SUMIFS('Status of Curriculum Completion'!$DZ$4:$DZ$38,'Status of Curriculum Completion'!$DP$4:$DP$38,"PH",'Status of Curriculum Completion'!$DU$4:$DU$38,"Complete")+SUMIFS('Status of Curriculum Completion'!$EM$4:$EM$38,'Status of Curriculum Completion'!$EC$4:$EC$38,"PH",'Status of Curriculum Completion'!$EH$4:$EH$38,"Complete")+SUMIFS('Status of Curriculum Completion'!$EZ$4:$EZ$38,'Status of Curriculum Completion'!$EP$4:$EP$38,"PH",'Status of Curriculum Completion'!$EU$4:$EU$38,"Complete")</f>
        <v>0</v>
      </c>
      <c r="AM11" s="62">
        <f>SUMIFS('Status of Curriculum Completion'!$DZ$4:$DZ$38,'Status of Curriculum Completion'!$DP$4:$DP$38,"PH",'Status of Curriculum Completion'!$DU$4:$DU$38,"In Progress")+SUMIFS('Status of Curriculum Completion'!$EM$4:$EM$38,'Status of Curriculum Completion'!$EC$4:$EC$38,"PH",'Status of Curriculum Completion'!$EH$4:$EH$38,"In Progress")+SUMIFS('Status of Curriculum Completion'!$EZ$4:$EZ$38,'Status of Curriculum Completion'!$EP$4:$EP$38,"PH",'Status of Curriculum Completion'!$EU$4:$EU$38,"In Progress")</f>
        <v>0</v>
      </c>
      <c r="AN11" s="62">
        <f>SUMIFS('Status of Curriculum Completion'!$DZ$4:$DZ$38,'Status of Curriculum Completion'!$DP$4:$DP$38,"PH",'Status of Curriculum Completion'!$DU$4:$DU$38,"Planned")+SUMIFS('Status of Curriculum Completion'!$EM$4:$EM$38,'Status of Curriculum Completion'!$EC$4:$EC$38,"PH",'Status of Curriculum Completion'!$EH$4:$EH$38,"Planned")+SUMIFS('Status of Curriculum Completion'!$EZ$4:$EZ$38,'Status of Curriculum Completion'!$EP$4:$EP$38,"PH",'Status of Curriculum Completion'!$EU$4:$EU$38,"Planned")</f>
        <v>0</v>
      </c>
      <c r="AO11" s="62">
        <f>SUMIFS('Status of Curriculum Completion'!$DZ$4:$DZ$38,'Status of Curriculum Completion'!$DP$4:$DP$38,"PH",'Status of Curriculum Completion'!$DU$4:$DU$38,"Tentative")+SUMIFS('Status of Curriculum Completion'!$EM$4:$EM$38,'Status of Curriculum Completion'!$EC$4:$EC$38,"PH",'Status of Curriculum Completion'!$EH$4:$EH$38,"Tentative")+SUMIFS('Status of Curriculum Completion'!$EZ$4:$EZ$38,'Status of Curriculum Completion'!$EP$4:$EP$38,"PH",'Status of Curriculum Completion'!$EU$4:$EU$38,"Tentative")</f>
        <v>0</v>
      </c>
      <c r="AP11" s="62">
        <f>SUMIFS('Status of Curriculum Completion'!$DZ$4:$DZ$38,'Status of Curriculum Completion'!$DP$4:$DP$38,"PH",'Status of Curriculum Completion'!$DV$4:$DV$38,"Complete")+SUMIFS('Status of Curriculum Completion'!$EM$4:$EM$38,'Status of Curriculum Completion'!$EC$4:$EC$38,"PH",'Status of Curriculum Completion'!$EI$4:$EI$38,"Complete")+SUMIFS('Status of Curriculum Completion'!$EZ$4:$EZ$38,'Status of Curriculum Completion'!$EP$4:$EP$38,"PH",'Status of Curriculum Completion'!$EV$4:$EV$38,"Complete")</f>
        <v>0</v>
      </c>
      <c r="AQ11" s="62">
        <f>SUMIFS('Status of Curriculum Completion'!$DZ$4:$DZ$38,'Status of Curriculum Completion'!$DP$4:$DP$38,"PH",'Status of Curriculum Completion'!$DV$4:$DV$38,"In Progress")+SUMIFS('Status of Curriculum Completion'!$EM$4:$EM$38,'Status of Curriculum Completion'!$EC$4:$EC$38,"PH",'Status of Curriculum Completion'!$EI$4:$EI$38,"In Progress")+SUMIFS('Status of Curriculum Completion'!$EZ$4:$EZ$38,'Status of Curriculum Completion'!$EP$4:$EP$38,"PH",'Status of Curriculum Completion'!$EV$4:$EV$38,"In Progress")</f>
        <v>0</v>
      </c>
      <c r="AR11" s="62">
        <f>SUMIFS('Status of Curriculum Completion'!$DZ$4:$DZ$38,'Status of Curriculum Completion'!$DP$4:$DP$38,"PH",'Status of Curriculum Completion'!$DV$4:$DV$38,"Planned")+SUMIFS('Status of Curriculum Completion'!$EM$4:$EM$38,'Status of Curriculum Completion'!$EC$4:$EC$38,"PH",'Status of Curriculum Completion'!$EI$4:$EI$38,"Planned")+SUMIFS('Status of Curriculum Completion'!$EZ$4:$EZ$38,'Status of Curriculum Completion'!$EP$4:$EP$38,"PH",'Status of Curriculum Completion'!$EV$4:$EV$38,"Planned")</f>
        <v>0</v>
      </c>
      <c r="AS11" s="62">
        <f>SUMIFS('Status of Curriculum Completion'!$DZ$4:$DZ$38,'Status of Curriculum Completion'!$DP$4:$DP$38,"PH",'Status of Curriculum Completion'!$DV$4:$DV$38,"Tentative")+SUMIFS('Status of Curriculum Completion'!$EM$4:$EM$38,'Status of Curriculum Completion'!$EC$4:$EC$38,"PH",'Status of Curriculum Completion'!$EI$4:$EI$38,"Tentative")+SUMIFS('Status of Curriculum Completion'!$EZ$4:$EZ$38,'Status of Curriculum Completion'!$EP$4:$EP$38,"PH",'Status of Curriculum Completion'!$EV$4:$EV$38,"Tentative")</f>
        <v>0</v>
      </c>
    </row>
    <row r="12" spans="1:45" ht="44" thickBot="1">
      <c r="A12" s="63" t="s">
        <v>1633</v>
      </c>
      <c r="B12" s="59">
        <f>SUMIFS('Status of Curriculum Completion'!M$4:M$38,'Status of Curriculum Completion'!C$4:C$38,"CIC WE",'Status of Curriculum Completion'!G$4:G$38,"Complete")+SUMIFS('Status of Curriculum Completion'!Z$4:Z$38,'Status of Curriculum Completion'!P$4:P$38,"CIC WE",'Status of Curriculum Completion'!T$4:T$38,"Complete")+SUMIFS('Status of Curriculum Completion'!AM$4:AM$38,'Status of Curriculum Completion'!AC$4:AC$38,"CIC WE",'Status of Curriculum Completion'!AG$4:AG$38,"Complete")</f>
        <v>14</v>
      </c>
      <c r="C12" s="59">
        <f>SUMIFS('Status of Curriculum Completion'!$M$4:$M$38,'Status of Curriculum Completion'!$C$4:$C$38,"CIC WE",'Status of Curriculum Completion'!$G$4:$G$38,"In progress")+SUMIFS('Status of Curriculum Completion'!$Z$4:$Z$38,'Status of Curriculum Completion'!$P$4:$P$38,"CIC WE",'Status of Curriculum Completion'!$T$4:$T$38,"In progress")+SUMIFS('Status of Curriculum Completion'!$AM$4:$AM$38,'Status of Curriculum Completion'!$AC$4:$AC$38,"CIC WE",'Status of Curriculum Completion'!$AG$4:$AG$38,"In progress")</f>
        <v>0</v>
      </c>
      <c r="D12" s="59">
        <f>SUMIFS('Status of Curriculum Completion'!$M$4:$M$38,'Status of Curriculum Completion'!$C$4:$C$38,"CIC WE",'Status of Curriculum Completion'!$G$4:$G$38,"Planned")+SUMIFS('Status of Curriculum Completion'!$Z$4:$Z$38,'Status of Curriculum Completion'!$P$4:$P$38,"CIC WE",'Status of Curriculum Completion'!$T$4:$T$38,"Planned")+SUMIFS('Status of Curriculum Completion'!$AM$4:$AM$38,'Status of Curriculum Completion'!$AC$4:$AC$38,"CIC WE",'Status of Curriculum Completion'!$AG$4:$AG$38,"Planned")</f>
        <v>0</v>
      </c>
      <c r="E12" s="59">
        <f>SUMIFS('Status of Curriculum Completion'!$M$4:$M$38,'Status of Curriculum Completion'!$C$4:$C$38,"CIC WE",'Status of Curriculum Completion'!$H$4:$H$38,"Complete")+SUMIFS('Status of Curriculum Completion'!$Z$4:$Z$38,'Status of Curriculum Completion'!$P$4:$P$38,"CIC WE",'Status of Curriculum Completion'!$U$4:$U$38,"Complete")+SUMIFS('Status of Curriculum Completion'!$AM$4:$AM$38,'Status of Curriculum Completion'!$AC$4:$AC$38,"CIC WE",'Status of Curriculum Completion'!$AH$4:$AH$38,"Complete")</f>
        <v>14</v>
      </c>
      <c r="F12" s="59">
        <f>SUMIFS('Status of Curriculum Completion'!$M$4:$M$38,'Status of Curriculum Completion'!$C$4:$C$38,"CIC WE",'Status of Curriculum Completion'!$H$4:$H$38,"In Progress")+SUMIFS('Status of Curriculum Completion'!$Z$4:$Z$38,'Status of Curriculum Completion'!$P$4:$P$38,"CIC WE",'Status of Curriculum Completion'!$U$4:$U$38,"In Progress")+SUMIFS('Status of Curriculum Completion'!$AM$4:$AM$38,'Status of Curriculum Completion'!$AC$4:$AC$38,"CIC WE",'Status of Curriculum Completion'!$AH$4:$AH$38,"In Progress")</f>
        <v>0</v>
      </c>
      <c r="G12" s="59">
        <f>SUMIFS('Status of Curriculum Completion'!$M$4:$M$38,'Status of Curriculum Completion'!$C$4:$C$38,"CIC WE",'Status of Curriculum Completion'!$H$4:$H$38,"Planned")+SUMIFS('Status of Curriculum Completion'!$Z$4:$Z$38,'Status of Curriculum Completion'!$P$4:$P$38,"CIC WE",'Status of Curriculum Completion'!$U$4:$U$38,"Planned")+SUMIFS('Status of Curriculum Completion'!$AM$4:$AM$38,'Status of Curriculum Completion'!$AC$4:$AC$38,"CIC WE",'Status of Curriculum Completion'!$AH$4:$AH$38,"Planned")</f>
        <v>0</v>
      </c>
      <c r="H12" s="59">
        <f>SUMIFS('Status of Curriculum Completion'!$M$4:$M$38,'Status of Curriculum Completion'!$C$4:$C$38,"CIC WE",'Status of Curriculum Completion'!$I$4:$I$38,"Complete")+SUMIFS('Status of Curriculum Completion'!$Z$4:$Z$38,'Status of Curriculum Completion'!$P$4:$P$38,"CIC WE",'Status of Curriculum Completion'!$V$4:$V$38,"Complete")+SUMIFS('Status of Curriculum Completion'!$AM$4:$AM$38,'Status of Curriculum Completion'!$AC$4:$AC$38,"CIC WE",'Status of Curriculum Completion'!$AI$4:$AI$38,"Complete")</f>
        <v>14</v>
      </c>
      <c r="I12" s="59">
        <f>SUMIFS('Status of Curriculum Completion'!$M$4:$M$38,'Status of Curriculum Completion'!$C$4:$C$38,"CIC WE",'Status of Curriculum Completion'!$I$4:$I$38,"In Progress")+SUMIFS('Status of Curriculum Completion'!$Z$4:$Z$38,'Status of Curriculum Completion'!$P$4:$P$38,"CIC WE",'Status of Curriculum Completion'!$V$4:$V$38,"In Progress")+SUMIFS('Status of Curriculum Completion'!$AM$4:$AM$38,'Status of Curriculum Completion'!$AC$4:$AC$38,"CIC WE",'Status of Curriculum Completion'!$AI$4:$AI$38,"In Progress")</f>
        <v>0</v>
      </c>
      <c r="J12" s="59">
        <f>SUMIFS('Status of Curriculum Completion'!$M$4:$M$38,'Status of Curriculum Completion'!$C$4:$C$38,"CIC WE",'Status of Curriculum Completion'!$I$4:$I$38,"Planned")+SUMIFS('Status of Curriculum Completion'!$Z$4:$Z$38,'Status of Curriculum Completion'!$P$4:$P$38,"CIC WE",'Status of Curriculum Completion'!$V$4:$V$38,"Planned")+SUMIFS('Status of Curriculum Completion'!$AM$4:$AM$38,'Status of Curriculum Completion'!$AC$4:$AC$38,"CIC WE",'Status of Curriculum Completion'!$AI$4:$AI$38,"Planned")</f>
        <v>0</v>
      </c>
      <c r="K12" s="60">
        <f>SUMIFS('Status of Curriculum Completion'!$AZ$4:$AZ$38,'Status of Curriculum Completion'!$AP$4:$AP$38,"CIC WE",'Status of Curriculum Completion'!$AT$4:$AT$38,"Complete")+SUMIFS('Status of Curriculum Completion'!$BM$4:$BM$38,'Status of Curriculum Completion'!$BC$4:$BC$38,"CIC WE",'Status of Curriculum Completion'!$BG$4:$BG$38,"Complete")+SUMIFS('Status of Curriculum Completion'!$BZ$4:$BZ$38,'Status of Curriculum Completion'!$BP$4:$BP$38,"CIC WE",'Status of Curriculum Completion'!$BT$4:$BT$38,"Complete")</f>
        <v>22</v>
      </c>
      <c r="L12" s="60">
        <f>SUMIFS('Status of Curriculum Completion'!$AZ$4:$AZ$38,'Status of Curriculum Completion'!$AP$4:$AP$38,"CIC WE",'Status of Curriculum Completion'!$AT$4:$AT$38,"In Progress")+SUMIFS('Status of Curriculum Completion'!$BM$4:$BM$38,'Status of Curriculum Completion'!$BC$4:$BC$38,"CIC WE",'Status of Curriculum Completion'!$BG$4:$BG$38,"In Progress")+SUMIFS('Status of Curriculum Completion'!$BZ$4:$BZ$38,'Status of Curriculum Completion'!$BP$4:$BP$38,"CIC WE",'Status of Curriculum Completion'!$BT$4:$BT$38,"In Progress")</f>
        <v>0</v>
      </c>
      <c r="M12" s="60">
        <f>SUMIFS('Status of Curriculum Completion'!$AZ$4:$AZ$38,'Status of Curriculum Completion'!$AP$4:$AP$38,"CIC WE",'Status of Curriculum Completion'!$AT$4:$AT$38,"Planned")+SUMIFS('Status of Curriculum Completion'!$BM$4:$BM$38,'Status of Curriculum Completion'!$BC$4:$BC$38,"CIC WE",'Status of Curriculum Completion'!$BG$4:$BG$38,"Planned")+SUMIFS('Status of Curriculum Completion'!$BZ$4:$BZ$38,'Status of Curriculum Completion'!$BP$4:$BP$38,"CIC WE",'Status of Curriculum Completion'!$BT$4:$BT$38,"Planned")</f>
        <v>0</v>
      </c>
      <c r="N12" s="60">
        <f>SUMIFS('Status of Curriculum Completion'!$AZ$4:$AZ$38,'Status of Curriculum Completion'!$AP$4:$AP$38,"CIC WE",'Status of Curriculum Completion'!$AU$4:$AU$38,"Complete")+SUMIFS('Status of Curriculum Completion'!$BM$4:$BM$38,'Status of Curriculum Completion'!$BC$4:$BC$38,"CIC WE",'Status of Curriculum Completion'!$BH$4:$BH$38,"Complete")+SUMIFS('Status of Curriculum Completion'!$BZ$4:$BZ$38,'Status of Curriculum Completion'!$BP$4:$BP$38,"CIC WE",'Status of Curriculum Completion'!$BU$4:$BU$38,"Complete")</f>
        <v>22</v>
      </c>
      <c r="O12" s="60">
        <f>SUMIFS('Status of Curriculum Completion'!$AZ$4:$AZ$38,'Status of Curriculum Completion'!$AP$4:$AP$38,"CIC WE",'Status of Curriculum Completion'!$AU$4:$AU$38,"In Progress")+SUMIFS('Status of Curriculum Completion'!$BM$4:$BM$38,'Status of Curriculum Completion'!$BC$4:$BC$38,"CIC WE",'Status of Curriculum Completion'!$BH$4:$BH$38,"In Progress")+SUMIFS('Status of Curriculum Completion'!$BZ$4:$BZ$38,'Status of Curriculum Completion'!$BP$4:$BP$38,"CIC WE",'Status of Curriculum Completion'!$BU$4:$BU$38,"In Progress")</f>
        <v>0</v>
      </c>
      <c r="P12" s="60">
        <f>SUMIFS('Status of Curriculum Completion'!$AZ$4:$AZ$38,'Status of Curriculum Completion'!$AP$4:$AP$38,"CIC WE",'Status of Curriculum Completion'!$AU$4:$AU$38,"Planned")+SUMIFS('Status of Curriculum Completion'!$BM$4:$BM$38,'Status of Curriculum Completion'!$BC$4:$BC$38,"CIC WE",'Status of Curriculum Completion'!$BH$4:$BH$38,"Planned")+SUMIFS('Status of Curriculum Completion'!$BZ$4:$BZ$38,'Status of Curriculum Completion'!$BP$4:$BP$38,"CIC WE",'Status of Curriculum Completion'!$BU$4:$BU$38,"Planned")</f>
        <v>0</v>
      </c>
      <c r="Q12" s="60">
        <f>SUMIFS('Status of Curriculum Completion'!$AZ$4:$AZ$38,'Status of Curriculum Completion'!$AP$4:$AP$38,"CIC WE",'Status of Curriculum Completion'!$AV$4:$AV$38,"Complete")+SUMIFS('Status of Curriculum Completion'!$BM$4:$BM$38,'Status of Curriculum Completion'!$BC$4:$BC$38,"CIC WE",'Status of Curriculum Completion'!$BI$4:$BI$38,"Complete")+SUMIFS('Status of Curriculum Completion'!$BZ$4:$BZ$38,'Status of Curriculum Completion'!$BP$4:$BP$38,"CIC WE",'Status of Curriculum Completion'!$BV$4:$BV$38,"Complete")</f>
        <v>22</v>
      </c>
      <c r="R12" s="60">
        <f>SUMIFS('Status of Curriculum Completion'!$AZ$4:$AZ$38,'Status of Curriculum Completion'!$AP$4:$AP$38,"CIC WE",'Status of Curriculum Completion'!$AV$4:$AV$38,"In Progress")+SUMIFS('Status of Curriculum Completion'!$BM$4:$BM$38,'Status of Curriculum Completion'!$BC$4:$BC$38,"CIC WE",'Status of Curriculum Completion'!$BI$4:$BI$38,"In Progress")+SUMIFS('Status of Curriculum Completion'!$BZ$4:$BZ$38,'Status of Curriculum Completion'!$BP$4:$BP$38,"CIC WE",'Status of Curriculum Completion'!$BV$4:$BV$38,"In Progress")</f>
        <v>0</v>
      </c>
      <c r="S12" s="60">
        <f>SUMIFS('Status of Curriculum Completion'!$AZ$4:$AZ$38,'Status of Curriculum Completion'!$AP$4:$AP$38,"CIC WE",'Status of Curriculum Completion'!$AV$4:$AV$38,"Planned")+SUMIFS('Status of Curriculum Completion'!$BM$4:$BM$38,'Status of Curriculum Completion'!$BC$4:$BC$38,"CIC WE",'Status of Curriculum Completion'!$BI$4:$BI$38,"Planned")+SUMIFS('Status of Curriculum Completion'!$BZ$4:$BZ$38,'Status of Curriculum Completion'!$BP$4:$BP$38,"CIC WE",'Status of Curriculum Completion'!$BV$4:$BV$38,"Planned")</f>
        <v>0</v>
      </c>
      <c r="U12" s="63" t="s">
        <v>1633</v>
      </c>
      <c r="V12" s="61">
        <f>SUMIFS('Status of Curriculum Completion'!$CM$4:$CM$38,'Status of Curriculum Completion'!$CC$4:$CC$38,"CIC WE",'Status of Curriculum Completion'!$CG$4:$CG$38,"Complete")+SUMIFS('Status of Curriculum Completion'!$CZ$4:$CZ$38,'Status of Curriculum Completion'!$CP$4:$CP$38,"CIC WE",'Status of Curriculum Completion'!$CT$4:$CT$38,"Complete")+SUMIFS('Status of Curriculum Completion'!$DM$4:$DM$38,'Status of Curriculum Completion'!$DC$4:$DC$38,"CIC WE",'Status of Curriculum Completion'!$DG$4:$DG$38,"Complete")</f>
        <v>19</v>
      </c>
      <c r="W12" s="61">
        <f>SUMIFS('Status of Curriculum Completion'!$CM$4:$CM$38,'Status of Curriculum Completion'!$CC$4:$CC$38,"CIC WE",'Status of Curriculum Completion'!$CG$4:$CG$38,"In Progress")+SUMIFS('Status of Curriculum Completion'!$CZ$4:$CZ$38,'Status of Curriculum Completion'!$CP$4:$CP$38,"CIC WE",'Status of Curriculum Completion'!$CT$4:$CT$38,"In Progress")+SUMIFS('Status of Curriculum Completion'!$DM$4:$DM$38,'Status of Curriculum Completion'!$DC$4:$DC$38,"CIC WE",'Status of Curriculum Completion'!$DG$4:$DG$38,"In Progress")</f>
        <v>0</v>
      </c>
      <c r="X12" s="61">
        <f>SUMIFS('Status of Curriculum Completion'!$CM$4:$CM$38,'Status of Curriculum Completion'!$CC$4:$CC$38,"CIC WE",'Status of Curriculum Completion'!$CG$4:$CG$38,"Planned")+SUMIFS('Status of Curriculum Completion'!$CZ$4:$CZ$38,'Status of Curriculum Completion'!$CP$4:$CP$38,"CIC WE",'Status of Curriculum Completion'!$CT$4:$CT$38,"Planned")+SUMIFS('Status of Curriculum Completion'!$DM$4:$DM$38,'Status of Curriculum Completion'!$DC$4:$DC$38,"CIC WE",'Status of Curriculum Completion'!$DG$4:$DG$38,"Planned")</f>
        <v>0</v>
      </c>
      <c r="Y12" s="61">
        <f>SUMIFS('Status of Curriculum Completion'!$CM$4:$CM$38,'Status of Curriculum Completion'!$CC$4:$CC$38,"CIC WE",'Status of Curriculum Completion'!$CG$4:$CG$38,"Tentative")+SUMIFS('Status of Curriculum Completion'!$CZ$4:$CZ$38,'Status of Curriculum Completion'!$CP$4:$CP$38,"CIC WE",'Status of Curriculum Completion'!$CT$4:$CT$38,"Tentative")+SUMIFS('Status of Curriculum Completion'!$DM$4:$DM$38,'Status of Curriculum Completion'!$DC$4:$DC$38,"CIC WE",'Status of Curriculum Completion'!$DG$4:$DG$38,"Tentative")</f>
        <v>0</v>
      </c>
      <c r="Z12" s="61">
        <f>SUMIFS('Status of Curriculum Completion'!$CM$4:$CM$38,'Status of Curriculum Completion'!$CC$4:$CC$38,"CIC WE",'Status of Curriculum Completion'!$CH$4:$CH$38,"Complete")+SUMIFS('Status of Curriculum Completion'!$CZ$4:$CZ$38,'Status of Curriculum Completion'!$CP$4:$CP$38,"CIC WE",'Status of Curriculum Completion'!$CU$4:$CU$38,"Complete")+SUMIFS('Status of Curriculum Completion'!$DM$4:$DM$38,'Status of Curriculum Completion'!$DC$4:$DC$38,"CIC WE",'Status of Curriculum Completion'!$DH$4:$DH$38,"Complete")</f>
        <v>19</v>
      </c>
      <c r="AA12" s="61">
        <f>SUMIFS('Status of Curriculum Completion'!$CM$4:$CM$38,'Status of Curriculum Completion'!$CC$4:$CC$38,"CIC WE",'Status of Curriculum Completion'!$CH$4:$CH$38,"In Progress")+SUMIFS('Status of Curriculum Completion'!$CZ$4:$CZ$38,'Status of Curriculum Completion'!$CP$4:$CP$38,"CIC WE",'Status of Curriculum Completion'!$CU$4:$CU$38,"In Progress")+SUMIFS('Status of Curriculum Completion'!$DM$4:$DM$38,'Status of Curriculum Completion'!$DC$4:$DC$38,"CIC WE",'Status of Curriculum Completion'!$DH$4:$DH$38,"In Progress")</f>
        <v>0</v>
      </c>
      <c r="AB12" s="61">
        <f>SUMIFS('Status of Curriculum Completion'!$CM$4:$CM$38,'Status of Curriculum Completion'!$CC$4:$CC$38,"CIC WE",'Status of Curriculum Completion'!$CH$4:$CH$38,"Planned")+SUMIFS('Status of Curriculum Completion'!$CZ$4:$CZ$38,'Status of Curriculum Completion'!$CP$4:$CP$38,"CIC WE",'Status of Curriculum Completion'!$CU$4:$CU$38,"Planned")+SUMIFS('Status of Curriculum Completion'!$DM$4:$DM$38,'Status of Curriculum Completion'!$DC$4:$DC$38,"CIC WE",'Status of Curriculum Completion'!$DH$4:$DH$38,"Planned")</f>
        <v>0</v>
      </c>
      <c r="AC12" s="61">
        <f>SUMIFS('Status of Curriculum Completion'!$CM$4:$CM$38,'Status of Curriculum Completion'!$CC$4:$CC$38,"CIC WE",'Status of Curriculum Completion'!$CH$4:$CH$38,"Tentative")+SUMIFS('Status of Curriculum Completion'!$CZ$4:$CZ$38,'Status of Curriculum Completion'!$CP$4:$CP$38,"CIC WE",'Status of Curriculum Completion'!$CU$4:$CU$38,"Tentative")+SUMIFS('Status of Curriculum Completion'!$DM$4:$DM$38,'Status of Curriculum Completion'!$DC$4:$DC$38,"CIC WE",'Status of Curriculum Completion'!$DH$4:$DH$38,"Tentative")</f>
        <v>0</v>
      </c>
      <c r="AD12" s="61">
        <f>SUMIFS('Status of Curriculum Completion'!$CM$4:$CM$38,'Status of Curriculum Completion'!$CC$4:$CC$38,"CIC WE",'Status of Curriculum Completion'!$CI$4:$CI$38,"Complete")+SUMIFS('Status of Curriculum Completion'!$CZ$4:$CZ$38,'Status of Curriculum Completion'!$CP$4:$CP$38,"CIC WE",'Status of Curriculum Completion'!$CV$4:$CV$38,"Complete")+SUMIFS('Status of Curriculum Completion'!$DM$4:$DM$38,'Status of Curriculum Completion'!$DC$4:$DC$38,"CIC WE",'Status of Curriculum Completion'!$DI$4:$DI$38,"Complete")</f>
        <v>0</v>
      </c>
      <c r="AE12" s="61">
        <f>SUMIFS('Status of Curriculum Completion'!$CM$4:$CM$38,'Status of Curriculum Completion'!$CC$4:$CC$38,"CIC WE",'Status of Curriculum Completion'!$CI$4:$CI$38,"In Progress")+SUMIFS('Status of Curriculum Completion'!$CZ$4:$CZ$38,'Status of Curriculum Completion'!$CP$4:$CP$38,"CIC WE",'Status of Curriculum Completion'!$CV$4:$CV$38,"In Progress")+SUMIFS('Status of Curriculum Completion'!$DM$4:$DM$38,'Status of Curriculum Completion'!$DC$4:$DC$38,"CIC WE",'Status of Curriculum Completion'!$DI$4:$DI$38,"In Progress")</f>
        <v>19</v>
      </c>
      <c r="AF12" s="61">
        <f>SUMIFS('Status of Curriculum Completion'!$CM$4:$CM$38,'Status of Curriculum Completion'!$CC$4:$CC$38,"CIC WE",'Status of Curriculum Completion'!$CI$4:$CI$38,"Planned")+SUMIFS('Status of Curriculum Completion'!$CZ$4:$CZ$38,'Status of Curriculum Completion'!$CP$4:$CP$38,"CIC WE",'Status of Curriculum Completion'!$CV$4:$CV$38,"Planned")+SUMIFS('Status of Curriculum Completion'!$DM$4:$DM$38,'Status of Curriculum Completion'!$DC$4:$DC$38,"CIC WE",'Status of Curriculum Completion'!$DI$4:$DI$38,"Planned")</f>
        <v>0</v>
      </c>
      <c r="AG12" s="61">
        <f>SUMIFS('Status of Curriculum Completion'!$CM$4:$CM$38,'Status of Curriculum Completion'!$CC$4:$CC$38,"CIC WE",'Status of Curriculum Completion'!$CI$4:$CI$38,"Tentative")+SUMIFS('Status of Curriculum Completion'!$CZ$4:$CZ$38,'Status of Curriculum Completion'!$CP$4:$CP$38,"CIC WE",'Status of Curriculum Completion'!$CV$4:$CV$38,"Tentative")+SUMIFS('Status of Curriculum Completion'!$DM$4:$DM$38,'Status of Curriculum Completion'!$DC$4:$DC$38,"CIC WE",'Status of Curriculum Completion'!$DI$4:$DI$38,"Tentative")</f>
        <v>0</v>
      </c>
      <c r="AH12" s="62">
        <f>SUMIFS('Status of Curriculum Completion'!$DZ$4:$DZ$38,'Status of Curriculum Completion'!$DP$4:$DP$38,"CIC WE",'Status of Curriculum Completion'!$DT$4:$DT$38,"Complete")+SUMIFS('Status of Curriculum Completion'!$EM$4:$EM$38,'Status of Curriculum Completion'!$EC$4:$EC$38,"CIC WE",'Status of Curriculum Completion'!$EG$4:$EG$38,"Complete")+SUMIFS('Status of Curriculum Completion'!$EZ$4:$EZ$38,'Status of Curriculum Completion'!$EP$4:$EP$38,"CIC WE",'Status of Curriculum Completion'!$ET$4:$ET$38,"Complete")</f>
        <v>26</v>
      </c>
      <c r="AI12" s="62">
        <f>SUMIFS('Status of Curriculum Completion'!$DZ$4:$DZ$38,'Status of Curriculum Completion'!$DP$4:$DP$38,"CIC WE",'Status of Curriculum Completion'!$DT$4:$DT$38,"In Progress")+SUMIFS('Status of Curriculum Completion'!$EM$4:$EM$38,'Status of Curriculum Completion'!$EC$4:$EC$38,"CIC WE",'Status of Curriculum Completion'!$EG$4:$EG$38,"In Progress")+SUMIFS('Status of Curriculum Completion'!$EZ$4:$EZ$38,'Status of Curriculum Completion'!$EP$4:$EP$38,"CIC WE",'Status of Curriculum Completion'!$ET$4:$ET$38,"In Progress")</f>
        <v>0</v>
      </c>
      <c r="AJ12" s="62">
        <f>SUMIFS('Status of Curriculum Completion'!$DZ$4:$DZ$38,'Status of Curriculum Completion'!$DP$4:$DP$38,"CIC WE",'Status of Curriculum Completion'!$DT$4:$DT$38,"Planned")+SUMIFS('Status of Curriculum Completion'!$EM$4:$EM$38,'Status of Curriculum Completion'!$EC$4:$EC$38,"CIC WE",'Status of Curriculum Completion'!$EG$4:$EG$38,"Planned")+SUMIFS('Status of Curriculum Completion'!$EZ$4:$EZ$38,'Status of Curriculum Completion'!$EP$4:$EP$38,"CIC WE",'Status of Curriculum Completion'!$ET$4:$ET$38,"Planned")</f>
        <v>0</v>
      </c>
      <c r="AK12" s="62">
        <f>SUMIFS('Status of Curriculum Completion'!$DZ$4:$DZ$38,'Status of Curriculum Completion'!$DP$4:$DP$38,"CIC WE",'Status of Curriculum Completion'!$DT$4:$DT$38,"Tentative")+SUMIFS('Status of Curriculum Completion'!$EM$4:$EM$38,'Status of Curriculum Completion'!$EC$4:$EC$38,"CIC WE",'Status of Curriculum Completion'!$EG$4:$EG$38,"Tentative")+SUMIFS('Status of Curriculum Completion'!$EZ$4:$EZ$38,'Status of Curriculum Completion'!$EP$4:$EP$38,"CIC WE",'Status of Curriculum Completion'!$ET$4:$ET$38,"Tentative")</f>
        <v>0</v>
      </c>
      <c r="AL12" s="62">
        <f>SUMIFS('Status of Curriculum Completion'!$DZ$4:$DZ$38,'Status of Curriculum Completion'!$DP$4:$DP$38,"CIC WE",'Status of Curriculum Completion'!$DU$4:$DU$38,"Complete")+SUMIFS('Status of Curriculum Completion'!$EM$4:$EM$38,'Status of Curriculum Completion'!$EC$4:$EC$38,"CIC WE",'Status of Curriculum Completion'!$EH$4:$EH$38,"Complete")+SUMIFS('Status of Curriculum Completion'!$EZ$4:$EZ$38,'Status of Curriculum Completion'!$EP$4:$EP$38,"CIC WE",'Status of Curriculum Completion'!$EU$4:$EU$38,"Complete")</f>
        <v>26</v>
      </c>
      <c r="AM12" s="62">
        <f>SUMIFS('Status of Curriculum Completion'!$DZ$4:$DZ$38,'Status of Curriculum Completion'!$DP$4:$DP$38,"CIC WE",'Status of Curriculum Completion'!$DU$4:$DU$38,"In Progress")+SUMIFS('Status of Curriculum Completion'!$EM$4:$EM$38,'Status of Curriculum Completion'!$EC$4:$EC$38,"CIC WE",'Status of Curriculum Completion'!$EH$4:$EH$38,"In Progress")+SUMIFS('Status of Curriculum Completion'!$EZ$4:$EZ$38,'Status of Curriculum Completion'!$EP$4:$EP$38,"CIC WE",'Status of Curriculum Completion'!$EU$4:$EU$38,"In Progress")</f>
        <v>0</v>
      </c>
      <c r="AN12" s="62">
        <f>SUMIFS('Status of Curriculum Completion'!$DZ$4:$DZ$38,'Status of Curriculum Completion'!$DP$4:$DP$38,"CIC WE",'Status of Curriculum Completion'!$DU$4:$DU$38,"Planned")+SUMIFS('Status of Curriculum Completion'!$EM$4:$EM$38,'Status of Curriculum Completion'!$EC$4:$EC$38,"CIC WE",'Status of Curriculum Completion'!$EH$4:$EH$38,"Planned")+SUMIFS('Status of Curriculum Completion'!$EZ$4:$EZ$38,'Status of Curriculum Completion'!$EP$4:$EP$38,"CIC WE",'Status of Curriculum Completion'!$EU$4:$EU$38,"Planned")</f>
        <v>0</v>
      </c>
      <c r="AO12" s="62">
        <f>SUMIFS('Status of Curriculum Completion'!$DZ$4:$DZ$38,'Status of Curriculum Completion'!$DP$4:$DP$38,"CIC WE",'Status of Curriculum Completion'!$DU$4:$DU$38,"Tentative")+SUMIFS('Status of Curriculum Completion'!$EM$4:$EM$38,'Status of Curriculum Completion'!$EC$4:$EC$38,"CIC WE",'Status of Curriculum Completion'!$EH$4:$EH$38,"Tentative")+SUMIFS('Status of Curriculum Completion'!$EZ$4:$EZ$38,'Status of Curriculum Completion'!$EP$4:$EP$38,"CIC WE",'Status of Curriculum Completion'!$EU$4:$EU$38,"Tentative")</f>
        <v>0</v>
      </c>
      <c r="AP12" s="62">
        <f>SUMIFS('Status of Curriculum Completion'!$DZ$4:$DZ$38,'Status of Curriculum Completion'!$DP$4:$DP$38,"CIC WE",'Status of Curriculum Completion'!$DV$4:$DV$38,"Complete")+SUMIFS('Status of Curriculum Completion'!$EM$4:$EM$38,'Status of Curriculum Completion'!$EC$4:$EC$38,"CIC WE",'Status of Curriculum Completion'!$EI$4:$EI$38,"Complete")+SUMIFS('Status of Curriculum Completion'!$EZ$4:$EZ$38,'Status of Curriculum Completion'!$EP$4:$EP$38,"CIC WE",'Status of Curriculum Completion'!$EV$4:$EV$38,"Complete")</f>
        <v>0</v>
      </c>
      <c r="AQ12" s="62">
        <f>SUMIFS('Status of Curriculum Completion'!$DZ$4:$DZ$38,'Status of Curriculum Completion'!$DP$4:$DP$38,"CIC WE",'Status of Curriculum Completion'!$DV$4:$DV$38,"In Progress")+SUMIFS('Status of Curriculum Completion'!$EM$4:$EM$38,'Status of Curriculum Completion'!$EC$4:$EC$38,"CIC WE",'Status of Curriculum Completion'!$EI$4:$EI$38,"In Progress")+SUMIFS('Status of Curriculum Completion'!$EZ$4:$EZ$38,'Status of Curriculum Completion'!$EP$4:$EP$38,"CIC WE",'Status of Curriculum Completion'!$EV$4:$EV$38,"In Progress")</f>
        <v>0</v>
      </c>
      <c r="AR12" s="62">
        <f>SUMIFS('Status of Curriculum Completion'!$DZ$4:$DZ$38,'Status of Curriculum Completion'!$DP$4:$DP$38,"CIC WE",'Status of Curriculum Completion'!$DV$4:$DV$38,"Planned")+SUMIFS('Status of Curriculum Completion'!$EM$4:$EM$38,'Status of Curriculum Completion'!$EC$4:$EC$38,"CIC WE",'Status of Curriculum Completion'!$EI$4:$EI$38,"Planned")+SUMIFS('Status of Curriculum Completion'!$EZ$4:$EZ$38,'Status of Curriculum Completion'!$EP$4:$EP$38,"CIC WE",'Status of Curriculum Completion'!$EV$4:$EV$38,"Planned")</f>
        <v>26</v>
      </c>
      <c r="AS12" s="62">
        <f>SUMIFS('Status of Curriculum Completion'!$DZ$4:$DZ$38,'Status of Curriculum Completion'!$DP$4:$DP$38,"CIC WE",'Status of Curriculum Completion'!$DV$4:$DV$38,"Tentative")+SUMIFS('Status of Curriculum Completion'!$EM$4:$EM$38,'Status of Curriculum Completion'!$EC$4:$EC$38,"CIC WE",'Status of Curriculum Completion'!$EI$4:$EI$38,"Tentative")+SUMIFS('Status of Curriculum Completion'!$EZ$4:$EZ$38,'Status of Curriculum Completion'!$EP$4:$EP$38,"CIC WE",'Status of Curriculum Completion'!$EV$4:$EV$38,"Tentative")</f>
        <v>0</v>
      </c>
    </row>
    <row r="13" spans="1:45" ht="15" thickBot="1">
      <c r="A13" s="63" t="s">
        <v>1634</v>
      </c>
      <c r="B13" s="59">
        <f>SUMIFS('Status of Curriculum Completion'!M$4:M$38,'Status of Curriculum Completion'!C$4:C$38,"AP",'Status of Curriculum Completion'!G$4:G$38,"Complete")+SUMIFS('Status of Curriculum Completion'!Z$4:Z$38,'Status of Curriculum Completion'!P$4:P$38,"AP",'Status of Curriculum Completion'!T$4:T$38,"Complete")+SUMIFS('Status of Curriculum Completion'!AM$4:AM$38,'Status of Curriculum Completion'!AC$4:AC$38,"AP",'Status of Curriculum Completion'!AG$4:AG$38,"Complete")</f>
        <v>23</v>
      </c>
      <c r="C13" s="59">
        <f>SUMIFS('Status of Curriculum Completion'!$M$4:$M$38,'Status of Curriculum Completion'!$C$4:$C$38,"AP",'Status of Curriculum Completion'!$G$4:$G$38,"In progress")+SUMIFS('Status of Curriculum Completion'!$Z$4:$Z$38,'Status of Curriculum Completion'!$P$4:$P$38,"AP",'Status of Curriculum Completion'!$T$4:$T$38,"In progress")+SUMIFS('Status of Curriculum Completion'!$AM$4:$AM$38,'Status of Curriculum Completion'!$AC$4:$AC$38,"AP",'Status of Curriculum Completion'!$AG$4:$AG$38,"In progress")</f>
        <v>0</v>
      </c>
      <c r="D13" s="59">
        <f>SUMIFS('Status of Curriculum Completion'!$M$4:$M$38,'Status of Curriculum Completion'!$C$4:$C$38,"AP",'Status of Curriculum Completion'!$G$4:$G$38,"Planned")+SUMIFS('Status of Curriculum Completion'!$Z$4:$Z$38,'Status of Curriculum Completion'!$P$4:$P$38,"AP",'Status of Curriculum Completion'!$T$4:$T$38,"Planned")+SUMIFS('Status of Curriculum Completion'!$AM$4:$AM$38,'Status of Curriculum Completion'!$AC$4:$AC$38,"AP",'Status of Curriculum Completion'!$AG$4:$AG$38,"Planned")</f>
        <v>0</v>
      </c>
      <c r="E13" s="59">
        <f>SUMIFS('Status of Curriculum Completion'!$M$4:$M$38,'Status of Curriculum Completion'!$C$4:$C$38,"AP",'Status of Curriculum Completion'!$H$4:$H$38,"Complete")+SUMIFS('Status of Curriculum Completion'!$Z$4:$Z$38,'Status of Curriculum Completion'!$P$4:$P$38,"AP",'Status of Curriculum Completion'!$U$4:$U$38,"Complete")+SUMIFS('Status of Curriculum Completion'!$AM$4:$AM$38,'Status of Curriculum Completion'!$AC$4:$AC$38,"AP",'Status of Curriculum Completion'!$AH$4:$AH$38,"Complete")</f>
        <v>23</v>
      </c>
      <c r="F13" s="59">
        <f>SUMIFS('Status of Curriculum Completion'!$M$4:$M$38,'Status of Curriculum Completion'!$C$4:$C$38,"AP",'Status of Curriculum Completion'!$H$4:$H$38,"In Progress")+SUMIFS('Status of Curriculum Completion'!$Z$4:$Z$38,'Status of Curriculum Completion'!$P$4:$P$38,"AP",'Status of Curriculum Completion'!$U$4:$U$38,"In Progress")+SUMIFS('Status of Curriculum Completion'!$AM$4:$AM$38,'Status of Curriculum Completion'!$AC$4:$AC$38,"AP",'Status of Curriculum Completion'!$AH$4:$AH$38,"In Progress")</f>
        <v>0</v>
      </c>
      <c r="G13" s="59">
        <f>SUMIFS('Status of Curriculum Completion'!$M$4:$M$38,'Status of Curriculum Completion'!$C$4:$C$38,"AP",'Status of Curriculum Completion'!$H$4:$H$38,"Planned")+SUMIFS('Status of Curriculum Completion'!$Z$4:$Z$38,'Status of Curriculum Completion'!$P$4:$P$38,"AP",'Status of Curriculum Completion'!$U$4:$U$38,"Planned")+SUMIFS('Status of Curriculum Completion'!$AM$4:$AM$38,'Status of Curriculum Completion'!$AC$4:$AC$38,"AP",'Status of Curriculum Completion'!$AH$4:$AH$38,"Planned")</f>
        <v>0</v>
      </c>
      <c r="H13" s="59">
        <f>SUMIFS('Status of Curriculum Completion'!$M$4:$M$38,'Status of Curriculum Completion'!$C$4:$C$38,"AP",'Status of Curriculum Completion'!$I$4:$I$38,"Complete")+SUMIFS('Status of Curriculum Completion'!$Z$4:$Z$38,'Status of Curriculum Completion'!$P$4:$P$38,"AP",'Status of Curriculum Completion'!$V$4:$V$38,"Complete")+SUMIFS('Status of Curriculum Completion'!$AM$4:$AM$38,'Status of Curriculum Completion'!$AC$4:$AC$38,"AP",'Status of Curriculum Completion'!$AI$4:$AI$38,"Complete")</f>
        <v>23</v>
      </c>
      <c r="I13" s="59">
        <f>SUMIFS('Status of Curriculum Completion'!$M$4:$M$38,'Status of Curriculum Completion'!$C$4:$C$38,"AP",'Status of Curriculum Completion'!$I$4:$I$38,"In Progress")+SUMIFS('Status of Curriculum Completion'!$Z$4:$Z$38,'Status of Curriculum Completion'!$P$4:$P$38,"AP",'Status of Curriculum Completion'!$V$4:$V$38,"In Progress")+SUMIFS('Status of Curriculum Completion'!$AM$4:$AM$38,'Status of Curriculum Completion'!$AC$4:$AC$38,"AP",'Status of Curriculum Completion'!$AI$4:$AI$38,"In Progress")</f>
        <v>0</v>
      </c>
      <c r="J13" s="59">
        <f>SUMIFS('Status of Curriculum Completion'!$M$4:$M$38,'Status of Curriculum Completion'!$C$4:$C$38,"AP",'Status of Curriculum Completion'!$I$4:$I$38,"Planned")+SUMIFS('Status of Curriculum Completion'!$Z$4:$Z$38,'Status of Curriculum Completion'!$P$4:$P$38,"AP",'Status of Curriculum Completion'!$V$4:$V$38,"Planned")+SUMIFS('Status of Curriculum Completion'!$AM$4:$AM$38,'Status of Curriculum Completion'!$AC$4:$AC$38,"AP",'Status of Curriculum Completion'!$AI$4:$AI$38,"Planned")</f>
        <v>0</v>
      </c>
      <c r="K13" s="60">
        <f>SUMIFS('Status of Curriculum Completion'!$AZ$4:$AZ$38,'Status of Curriculum Completion'!$AP$4:$AP$38,"AP",'Status of Curriculum Completion'!$AT$4:$AT$38,"Complete")+SUMIFS('Status of Curriculum Completion'!$BM$4:$BM$38,'Status of Curriculum Completion'!$BC$4:$BC$38,"AP",'Status of Curriculum Completion'!$BG$4:$BG$38,"Complete")+SUMIFS('Status of Curriculum Completion'!$BZ$4:$BZ$38,'Status of Curriculum Completion'!$BP$4:$BP$38,"AP",'Status of Curriculum Completion'!$BT$4:$BT$38,"Complete")</f>
        <v>0</v>
      </c>
      <c r="L13" s="60">
        <f>SUMIFS('Status of Curriculum Completion'!$AZ$4:$AZ$38,'Status of Curriculum Completion'!$AP$4:$AP$38,"AP",'Status of Curriculum Completion'!$AT$4:$AT$38,"In Progress")+SUMIFS('Status of Curriculum Completion'!$BM$4:$BM$38,'Status of Curriculum Completion'!$BC$4:$BC$38,"AP",'Status of Curriculum Completion'!$BG$4:$BG$38,"In Progress")+SUMIFS('Status of Curriculum Completion'!$BZ$4:$BZ$38,'Status of Curriculum Completion'!$BP$4:$BP$38,"AP",'Status of Curriculum Completion'!$BT$4:$BT$38,"In Progress")</f>
        <v>0</v>
      </c>
      <c r="M13" s="60">
        <f>SUMIFS('Status of Curriculum Completion'!$AZ$4:$AZ$38,'Status of Curriculum Completion'!$AP$4:$AP$38,"AP",'Status of Curriculum Completion'!$AT$4:$AT$38,"Planned")+SUMIFS('Status of Curriculum Completion'!$BM$4:$BM$38,'Status of Curriculum Completion'!$BC$4:$BC$38,"AP",'Status of Curriculum Completion'!$BG$4:$BG$38,"Planned")+SUMIFS('Status of Curriculum Completion'!$BZ$4:$BZ$38,'Status of Curriculum Completion'!$BP$4:$BP$38,"AP",'Status of Curriculum Completion'!$BT$4:$BT$38,"Planned")</f>
        <v>0</v>
      </c>
      <c r="N13" s="60">
        <f>SUMIFS('Status of Curriculum Completion'!$AZ$4:$AZ$38,'Status of Curriculum Completion'!$AP$4:$AP$38,"AP",'Status of Curriculum Completion'!$AU$4:$AU$38,"Complete")+SUMIFS('Status of Curriculum Completion'!$BM$4:$BM$38,'Status of Curriculum Completion'!$BC$4:$BC$38,"AP",'Status of Curriculum Completion'!$BH$4:$BH$38,"Complete")+SUMIFS('Status of Curriculum Completion'!$BZ$4:$BZ$38,'Status of Curriculum Completion'!$BP$4:$BP$38,"AP",'Status of Curriculum Completion'!$BU$4:$BU$38,"Complete")</f>
        <v>0</v>
      </c>
      <c r="O13" s="60">
        <f>SUMIFS('Status of Curriculum Completion'!$AZ$4:$AZ$38,'Status of Curriculum Completion'!$AP$4:$AP$38,"AP",'Status of Curriculum Completion'!$AU$4:$AU$38,"In Progress")+SUMIFS('Status of Curriculum Completion'!$BM$4:$BM$38,'Status of Curriculum Completion'!$BC$4:$BC$38,"AP",'Status of Curriculum Completion'!$BH$4:$BH$38,"In Progress")+SUMIFS('Status of Curriculum Completion'!$BZ$4:$BZ$38,'Status of Curriculum Completion'!$BP$4:$BP$38,"AP",'Status of Curriculum Completion'!$BU$4:$BU$38,"In Progress")</f>
        <v>0</v>
      </c>
      <c r="P13" s="60">
        <f>SUMIFS('Status of Curriculum Completion'!$AZ$4:$AZ$38,'Status of Curriculum Completion'!$AP$4:$AP$38,"AP",'Status of Curriculum Completion'!$AU$4:$AU$38,"Planned")+SUMIFS('Status of Curriculum Completion'!$BM$4:$BM$38,'Status of Curriculum Completion'!$BC$4:$BC$38,"AP",'Status of Curriculum Completion'!$BH$4:$BH$38,"Planned")+SUMIFS('Status of Curriculum Completion'!$BZ$4:$BZ$38,'Status of Curriculum Completion'!$BP$4:$BP$38,"AP",'Status of Curriculum Completion'!$BU$4:$BU$38,"Planned")</f>
        <v>0</v>
      </c>
      <c r="Q13" s="60">
        <f>SUMIFS('Status of Curriculum Completion'!$AZ$4:$AZ$38,'Status of Curriculum Completion'!$AP$4:$AP$38,"AP",'Status of Curriculum Completion'!$AV$4:$AV$38,"Complete")+SUMIFS('Status of Curriculum Completion'!$BM$4:$BM$38,'Status of Curriculum Completion'!$BC$4:$BC$38,"AP",'Status of Curriculum Completion'!$BI$4:$BI$38,"Complete")+SUMIFS('Status of Curriculum Completion'!$BZ$4:$BZ$38,'Status of Curriculum Completion'!$BP$4:$BP$38,"AP",'Status of Curriculum Completion'!$BV$4:$BV$38,"Complete")</f>
        <v>0</v>
      </c>
      <c r="R13" s="60">
        <f>SUMIFS('Status of Curriculum Completion'!$AZ$4:$AZ$38,'Status of Curriculum Completion'!$AP$4:$AP$38,"AP",'Status of Curriculum Completion'!$AV$4:$AV$38,"In Progress")+SUMIFS('Status of Curriculum Completion'!$BM$4:$BM$38,'Status of Curriculum Completion'!$BC$4:$BC$38,"AP",'Status of Curriculum Completion'!$BI$4:$BI$38,"In Progress")+SUMIFS('Status of Curriculum Completion'!$BZ$4:$BZ$38,'Status of Curriculum Completion'!$BP$4:$BP$38,"AP",'Status of Curriculum Completion'!$BV$4:$BV$38,"In Progress")</f>
        <v>0</v>
      </c>
      <c r="S13" s="60">
        <f>SUMIFS('Status of Curriculum Completion'!$AZ$4:$AZ$38,'Status of Curriculum Completion'!$AP$4:$AP$38,"AP",'Status of Curriculum Completion'!$AV$4:$AV$38,"Planned")+SUMIFS('Status of Curriculum Completion'!$BM$4:$BM$38,'Status of Curriculum Completion'!$BC$4:$BC$38,"AP",'Status of Curriculum Completion'!$BI$4:$BI$38,"Planned")+SUMIFS('Status of Curriculum Completion'!$BZ$4:$BZ$38,'Status of Curriculum Completion'!$BP$4:$BP$38,"AP",'Status of Curriculum Completion'!$BV$4:$BV$38,"Planned")</f>
        <v>0</v>
      </c>
      <c r="U13" s="63" t="s">
        <v>1634</v>
      </c>
      <c r="V13" s="61">
        <f>SUMIFS('Status of Curriculum Completion'!$CM$4:$CM$38,'Status of Curriculum Completion'!$CC$4:$CC$38,"AP",'Status of Curriculum Completion'!$CG$4:$CG$38,"Complete")+SUMIFS('Status of Curriculum Completion'!$CZ$4:$CZ$38,'Status of Curriculum Completion'!$CP$4:$CP$38,"AP",'Status of Curriculum Completion'!$CT$4:$CT$38,"Complete")+SUMIFS('Status of Curriculum Completion'!$DM$4:$DM$38,'Status of Curriculum Completion'!$DC$4:$DC$38,"AP",'Status of Curriculum Completion'!$DG$4:$DG$38,"Complete")</f>
        <v>37</v>
      </c>
      <c r="W13" s="61">
        <f>SUMIFS('Status of Curriculum Completion'!$CM$4:$CM$38,'Status of Curriculum Completion'!$CC$4:$CC$38,"AP",'Status of Curriculum Completion'!$CG$4:$CG$38,"In Progress")+SUMIFS('Status of Curriculum Completion'!$CZ$4:$CZ$38,'Status of Curriculum Completion'!$CP$4:$CP$38,"AP",'Status of Curriculum Completion'!$CT$4:$CT$38,"In Progress")+SUMIFS('Status of Curriculum Completion'!$DM$4:$DM$38,'Status of Curriculum Completion'!$DC$4:$DC$38,"AP",'Status of Curriculum Completion'!$DG$4:$DG$38,"In Progress")</f>
        <v>0</v>
      </c>
      <c r="X13" s="61">
        <f>SUMIFS('Status of Curriculum Completion'!$CM$4:$CM$38,'Status of Curriculum Completion'!$CC$4:$CC$38,"AP",'Status of Curriculum Completion'!$CG$4:$CG$38,"Planned")+SUMIFS('Status of Curriculum Completion'!$CZ$4:$CZ$38,'Status of Curriculum Completion'!$CP$4:$CP$38,"AP",'Status of Curriculum Completion'!$CT$4:$CT$38,"Planned")+SUMIFS('Status of Curriculum Completion'!$DM$4:$DM$38,'Status of Curriculum Completion'!$DC$4:$DC$38,"AP",'Status of Curriculum Completion'!$DG$4:$DG$38,"Planned")</f>
        <v>0</v>
      </c>
      <c r="Y13" s="61">
        <f>SUMIFS('Status of Curriculum Completion'!$CM$4:$CM$38,'Status of Curriculum Completion'!$CC$4:$CC$38,"AP",'Status of Curriculum Completion'!$CG$4:$CG$38,"Tentative")+SUMIFS('Status of Curriculum Completion'!$CZ$4:$CZ$38,'Status of Curriculum Completion'!$CP$4:$CP$38,"AP",'Status of Curriculum Completion'!$CT$4:$CT$38,"Tentative")+SUMIFS('Status of Curriculum Completion'!$DM$4:$DM$38,'Status of Curriculum Completion'!$DC$4:$DC$38,"AP",'Status of Curriculum Completion'!$DG$4:$DG$38,"Tentative")</f>
        <v>0</v>
      </c>
      <c r="Z13" s="61">
        <f>SUMIFS('Status of Curriculum Completion'!$CM$4:$CM$38,'Status of Curriculum Completion'!$CC$4:$CC$38,"AP",'Status of Curriculum Completion'!$CH$4:$CH$38,"Complete")+SUMIFS('Status of Curriculum Completion'!$CZ$4:$CZ$38,'Status of Curriculum Completion'!$CP$4:$CP$38,"AP",'Status of Curriculum Completion'!$CU$4:$CU$38,"Complete")+SUMIFS('Status of Curriculum Completion'!$DM$4:$DM$38,'Status of Curriculum Completion'!$DC$4:$DC$38,"AP",'Status of Curriculum Completion'!$DH$4:$DH$38,"Complete")</f>
        <v>37</v>
      </c>
      <c r="AA13" s="61">
        <f>SUMIFS('Status of Curriculum Completion'!$CM$4:$CM$38,'Status of Curriculum Completion'!$CC$4:$CC$38,"AP",'Status of Curriculum Completion'!$CH$4:$CH$38,"In Progress")+SUMIFS('Status of Curriculum Completion'!$CZ$4:$CZ$38,'Status of Curriculum Completion'!$CP$4:$CP$38,"AP",'Status of Curriculum Completion'!$CU$4:$CU$38,"In Progress")+SUMIFS('Status of Curriculum Completion'!$DM$4:$DM$38,'Status of Curriculum Completion'!$DC$4:$DC$38,"AP",'Status of Curriculum Completion'!$DH$4:$DH$38,"In Progress")</f>
        <v>0</v>
      </c>
      <c r="AB13" s="61">
        <f>SUMIFS('Status of Curriculum Completion'!$CM$4:$CM$38,'Status of Curriculum Completion'!$CC$4:$CC$38,"AP",'Status of Curriculum Completion'!$CH$4:$CH$38,"Planned")+SUMIFS('Status of Curriculum Completion'!$CZ$4:$CZ$38,'Status of Curriculum Completion'!$CP$4:$CP$38,"AP",'Status of Curriculum Completion'!$CU$4:$CU$38,"Planned")+SUMIFS('Status of Curriculum Completion'!$DM$4:$DM$38,'Status of Curriculum Completion'!$DC$4:$DC$38,"AP",'Status of Curriculum Completion'!$DH$4:$DH$38,"Planned")</f>
        <v>0</v>
      </c>
      <c r="AC13" s="61">
        <f>SUMIFS('Status of Curriculum Completion'!$CM$4:$CM$38,'Status of Curriculum Completion'!$CC$4:$CC$38,"AP",'Status of Curriculum Completion'!$CH$4:$CH$38,"Tentative")+SUMIFS('Status of Curriculum Completion'!$CZ$4:$CZ$38,'Status of Curriculum Completion'!$CP$4:$CP$38,"AP",'Status of Curriculum Completion'!$CU$4:$CU$38,"Tentative")+SUMIFS('Status of Curriculum Completion'!$DM$4:$DM$38,'Status of Curriculum Completion'!$DC$4:$DC$38,"AP",'Status of Curriculum Completion'!$DH$4:$DH$38,"Tentative")</f>
        <v>0</v>
      </c>
      <c r="AD13" s="61">
        <f>SUMIFS('Status of Curriculum Completion'!$CM$4:$CM$38,'Status of Curriculum Completion'!$CC$4:$CC$38,"AP",'Status of Curriculum Completion'!$CI$4:$CI$38,"Complete")+SUMIFS('Status of Curriculum Completion'!$CZ$4:$CZ$38,'Status of Curriculum Completion'!$CP$4:$CP$38,"AP",'Status of Curriculum Completion'!$CV$4:$CV$38,"Complete")+SUMIFS('Status of Curriculum Completion'!$DM$4:$DM$38,'Status of Curriculum Completion'!$DC$4:$DC$38,"AP",'Status of Curriculum Completion'!$DI$4:$DI$38,"Complete")</f>
        <v>22</v>
      </c>
      <c r="AE13" s="61">
        <f>SUMIFS('Status of Curriculum Completion'!$CM$4:$CM$38,'Status of Curriculum Completion'!$CC$4:$CC$38,"AP",'Status of Curriculum Completion'!$CI$4:$CI$38,"In Progress")+SUMIFS('Status of Curriculum Completion'!$CZ$4:$CZ$38,'Status of Curriculum Completion'!$CP$4:$CP$38,"AP",'Status of Curriculum Completion'!$CV$4:$CV$38,"In Progress")+SUMIFS('Status of Curriculum Completion'!$DM$4:$DM$38,'Status of Curriculum Completion'!$DC$4:$DC$38,"AP",'Status of Curriculum Completion'!$DI$4:$DI$38,"In Progress")</f>
        <v>15</v>
      </c>
      <c r="AF13" s="61">
        <f>SUMIFS('Status of Curriculum Completion'!$CM$4:$CM$38,'Status of Curriculum Completion'!$CC$4:$CC$38,"AP",'Status of Curriculum Completion'!$CI$4:$CI$38,"Planned")+SUMIFS('Status of Curriculum Completion'!$CZ$4:$CZ$38,'Status of Curriculum Completion'!$CP$4:$CP$38,"AP",'Status of Curriculum Completion'!$CV$4:$CV$38,"Planned")+SUMIFS('Status of Curriculum Completion'!$DM$4:$DM$38,'Status of Curriculum Completion'!$DC$4:$DC$38,"AP",'Status of Curriculum Completion'!$DI$4:$DI$38,"Planned")</f>
        <v>0</v>
      </c>
      <c r="AG13" s="61">
        <f>SUMIFS('Status of Curriculum Completion'!$CM$4:$CM$38,'Status of Curriculum Completion'!$CC$4:$CC$38,"AP",'Status of Curriculum Completion'!$CI$4:$CI$38,"Tentative")+SUMIFS('Status of Curriculum Completion'!$CZ$4:$CZ$38,'Status of Curriculum Completion'!$CP$4:$CP$38,"AP",'Status of Curriculum Completion'!$CV$4:$CV$38,"Tentative")+SUMIFS('Status of Curriculum Completion'!$DM$4:$DM$38,'Status of Curriculum Completion'!$DC$4:$DC$38,"AP",'Status of Curriculum Completion'!$DI$4:$DI$38,"Tentative")</f>
        <v>0</v>
      </c>
      <c r="AH13" s="62">
        <f>SUMIFS('Status of Curriculum Completion'!$DZ$4:$DZ$38,'Status of Curriculum Completion'!$DP$4:$DP$38,"AP",'Status of Curriculum Completion'!$DT$4:$DT$38,"Complete")+SUMIFS('Status of Curriculum Completion'!$EM$4:$EM$38,'Status of Curriculum Completion'!$EC$4:$EC$38,"AP",'Status of Curriculum Completion'!$EG$4:$EG$38,"Complete")+SUMIFS('Status of Curriculum Completion'!$EZ$4:$EZ$38,'Status of Curriculum Completion'!$EP$4:$EP$38,"AP",'Status of Curriculum Completion'!$ET$4:$ET$38,"Complete")</f>
        <v>18</v>
      </c>
      <c r="AI13" s="62">
        <f>SUMIFS('Status of Curriculum Completion'!$DZ$4:$DZ$38,'Status of Curriculum Completion'!$DP$4:$DP$38,"AP",'Status of Curriculum Completion'!$DT$4:$DT$38,"In Progress")+SUMIFS('Status of Curriculum Completion'!$EM$4:$EM$38,'Status of Curriculum Completion'!$EC$4:$EC$38,"AP",'Status of Curriculum Completion'!$EG$4:$EG$38,"In Progress")+SUMIFS('Status of Curriculum Completion'!$EZ$4:$EZ$38,'Status of Curriculum Completion'!$EP$4:$EP$38,"AP",'Status of Curriculum Completion'!$ET$4:$ET$38,"In Progress")</f>
        <v>0</v>
      </c>
      <c r="AJ13" s="62">
        <f>SUMIFS('Status of Curriculum Completion'!$DZ$4:$DZ$38,'Status of Curriculum Completion'!$DP$4:$DP$38,"AP",'Status of Curriculum Completion'!$DT$4:$DT$38,"Planned")+SUMIFS('Status of Curriculum Completion'!$EM$4:$EM$38,'Status of Curriculum Completion'!$EC$4:$EC$38,"AP",'Status of Curriculum Completion'!$EG$4:$EG$38,"Planned")+SUMIFS('Status of Curriculum Completion'!$EZ$4:$EZ$38,'Status of Curriculum Completion'!$EP$4:$EP$38,"AP",'Status of Curriculum Completion'!$ET$4:$ET$38,"Planned")</f>
        <v>0</v>
      </c>
      <c r="AK13" s="62">
        <f>SUMIFS('Status of Curriculum Completion'!$DZ$4:$DZ$38,'Status of Curriculum Completion'!$DP$4:$DP$38,"AP",'Status of Curriculum Completion'!$DT$4:$DT$38,"Tentative")+SUMIFS('Status of Curriculum Completion'!$EM$4:$EM$38,'Status of Curriculum Completion'!$EC$4:$EC$38,"AP",'Status of Curriculum Completion'!$EG$4:$EG$38,"Tentative")+SUMIFS('Status of Curriculum Completion'!$EZ$4:$EZ$38,'Status of Curriculum Completion'!$EP$4:$EP$38,"AP",'Status of Curriculum Completion'!$ET$4:$ET$38,"Tentative")</f>
        <v>0</v>
      </c>
      <c r="AL13" s="62">
        <f>SUMIFS('Status of Curriculum Completion'!$DZ$4:$DZ$38,'Status of Curriculum Completion'!$DP$4:$DP$38,"AP",'Status of Curriculum Completion'!$DU$4:$DU$38,"Complete")+SUMIFS('Status of Curriculum Completion'!$EM$4:$EM$38,'Status of Curriculum Completion'!$EC$4:$EC$38,"AP",'Status of Curriculum Completion'!$EH$4:$EH$38,"Complete")+SUMIFS('Status of Curriculum Completion'!$EZ$4:$EZ$38,'Status of Curriculum Completion'!$EP$4:$EP$38,"AP",'Status of Curriculum Completion'!$EU$4:$EU$38,"Complete")</f>
        <v>18</v>
      </c>
      <c r="AM13" s="62">
        <f>SUMIFS('Status of Curriculum Completion'!$DZ$4:$DZ$38,'Status of Curriculum Completion'!$DP$4:$DP$38,"AP",'Status of Curriculum Completion'!$DU$4:$DU$38,"In Progress")+SUMIFS('Status of Curriculum Completion'!$EM$4:$EM$38,'Status of Curriculum Completion'!$EC$4:$EC$38,"AP",'Status of Curriculum Completion'!$EH$4:$EH$38,"In Progress")+SUMIFS('Status of Curriculum Completion'!$EZ$4:$EZ$38,'Status of Curriculum Completion'!$EP$4:$EP$38,"AP",'Status of Curriculum Completion'!$EU$4:$EU$38,"In Progress")</f>
        <v>0</v>
      </c>
      <c r="AN13" s="62">
        <f>SUMIFS('Status of Curriculum Completion'!$DZ$4:$DZ$38,'Status of Curriculum Completion'!$DP$4:$DP$38,"AP",'Status of Curriculum Completion'!$DU$4:$DU$38,"Planned")+SUMIFS('Status of Curriculum Completion'!$EM$4:$EM$38,'Status of Curriculum Completion'!$EC$4:$EC$38,"AP",'Status of Curriculum Completion'!$EH$4:$EH$38,"Planned")+SUMIFS('Status of Curriculum Completion'!$EZ$4:$EZ$38,'Status of Curriculum Completion'!$EP$4:$EP$38,"AP",'Status of Curriculum Completion'!$EU$4:$EU$38,"Planned")</f>
        <v>0</v>
      </c>
      <c r="AO13" s="62">
        <f>SUMIFS('Status of Curriculum Completion'!$DZ$4:$DZ$38,'Status of Curriculum Completion'!$DP$4:$DP$38,"AP",'Status of Curriculum Completion'!$DU$4:$DU$38,"Tentative")+SUMIFS('Status of Curriculum Completion'!$EM$4:$EM$38,'Status of Curriculum Completion'!$EC$4:$EC$38,"AP",'Status of Curriculum Completion'!$EH$4:$EH$38,"Tentative")+SUMIFS('Status of Curriculum Completion'!$EZ$4:$EZ$38,'Status of Curriculum Completion'!$EP$4:$EP$38,"AP",'Status of Curriculum Completion'!$EU$4:$EU$38,"Tentative")</f>
        <v>0</v>
      </c>
      <c r="AP13" s="62">
        <f>SUMIFS('Status of Curriculum Completion'!$DZ$4:$DZ$38,'Status of Curriculum Completion'!$DP$4:$DP$38,"AP",'Status of Curriculum Completion'!$DV$4:$DV$38,"Complete")+SUMIFS('Status of Curriculum Completion'!$EM$4:$EM$38,'Status of Curriculum Completion'!$EC$4:$EC$38,"AP",'Status of Curriculum Completion'!$EI$4:$EI$38,"Complete")+SUMIFS('Status of Curriculum Completion'!$EZ$4:$EZ$38,'Status of Curriculum Completion'!$EP$4:$EP$38,"AP",'Status of Curriculum Completion'!$EV$4:$EV$38,"Complete")</f>
        <v>0</v>
      </c>
      <c r="AQ13" s="62">
        <f>SUMIFS('Status of Curriculum Completion'!$DZ$4:$DZ$38,'Status of Curriculum Completion'!$DP$4:$DP$38,"AP",'Status of Curriculum Completion'!$DV$4:$DV$38,"In Progress")+SUMIFS('Status of Curriculum Completion'!$EM$4:$EM$38,'Status of Curriculum Completion'!$EC$4:$EC$38,"AP",'Status of Curriculum Completion'!$EI$4:$EI$38,"In Progress")+SUMIFS('Status of Curriculum Completion'!$EZ$4:$EZ$38,'Status of Curriculum Completion'!$EP$4:$EP$38,"AP",'Status of Curriculum Completion'!$EV$4:$EV$38,"In Progress")</f>
        <v>0</v>
      </c>
      <c r="AR13" s="62">
        <f>SUMIFS('Status of Curriculum Completion'!$DZ$4:$DZ$38,'Status of Curriculum Completion'!$DP$4:$DP$38,"AP",'Status of Curriculum Completion'!$DV$4:$DV$38,"Planned")+SUMIFS('Status of Curriculum Completion'!$EM$4:$EM$38,'Status of Curriculum Completion'!$EC$4:$EC$38,"AP",'Status of Curriculum Completion'!$EI$4:$EI$38,"Planned")+SUMIFS('Status of Curriculum Completion'!$EZ$4:$EZ$38,'Status of Curriculum Completion'!$EP$4:$EP$38,"AP",'Status of Curriculum Completion'!$EV$4:$EV$38,"Planned")</f>
        <v>18</v>
      </c>
      <c r="AS13" s="62">
        <f>SUMIFS('Status of Curriculum Completion'!$DZ$4:$DZ$38,'Status of Curriculum Completion'!$DP$4:$DP$38,"AP",'Status of Curriculum Completion'!$DV$4:$DV$38,"Tentative")+SUMIFS('Status of Curriculum Completion'!$EM$4:$EM$38,'Status of Curriculum Completion'!$EC$4:$EC$38,"AP",'Status of Curriculum Completion'!$EI$4:$EI$38,"Tentative")+SUMIFS('Status of Curriculum Completion'!$EZ$4:$EZ$38,'Status of Curriculum Completion'!$EP$4:$EP$38,"AP",'Status of Curriculum Completion'!$EV$4:$EV$38,"Tentative")</f>
        <v>0</v>
      </c>
    </row>
    <row r="14" spans="1:45" ht="29.5" thickBot="1">
      <c r="A14" s="63" t="s">
        <v>1635</v>
      </c>
      <c r="B14" s="59">
        <f>SUMIFS('Status of Curriculum Completion'!M$4:M$38,'Status of Curriculum Completion'!C$4:C$38,"Geo China",'Status of Curriculum Completion'!G$4:G$38,"Complete")+SUMIFS('Status of Curriculum Completion'!Z$4:Z$38,'Status of Curriculum Completion'!P$4:P$38,"Geo China",'Status of Curriculum Completion'!T$4:T$38,"Complete")+SUMIFS('Status of Curriculum Completion'!AM$4:AM$38,'Status of Curriculum Completion'!AC$4:AC$38,"Geo China",'Status of Curriculum Completion'!AG$4:AG$38,"Complete")</f>
        <v>0</v>
      </c>
      <c r="C14" s="59">
        <f>SUMIFS('Status of Curriculum Completion'!$M$4:$M$38,'Status of Curriculum Completion'!$C$4:$C$38,"Geo China",'Status of Curriculum Completion'!$G$4:$G$38,"In progress")+SUMIFS('Status of Curriculum Completion'!$Z$4:$Z$38,'Status of Curriculum Completion'!$P$4:$P$38,"Geo China",'Status of Curriculum Completion'!$T$4:$T$38,"In progress")+SUMIFS('Status of Curriculum Completion'!$AM$4:$AM$38,'Status of Curriculum Completion'!$AC$4:$AC$38,"Geo China",'Status of Curriculum Completion'!$AG$4:$AG$38,"In progress")</f>
        <v>0</v>
      </c>
      <c r="D14" s="59">
        <f>SUMIFS('Status of Curriculum Completion'!$M$4:$M$38,'Status of Curriculum Completion'!$C$4:$C$38,"Geo China",'Status of Curriculum Completion'!$G$4:$G$38,"Planned")+SUMIFS('Status of Curriculum Completion'!$Z$4:$Z$38,'Status of Curriculum Completion'!$P$4:$P$38,"Geo China",'Status of Curriculum Completion'!$T$4:$T$38,"Planned")+SUMIFS('Status of Curriculum Completion'!$AM$4:$AM$38,'Status of Curriculum Completion'!$AC$4:$AC$38,"Geo China",'Status of Curriculum Completion'!$AG$4:$AG$38,"Planned")</f>
        <v>0</v>
      </c>
      <c r="E14" s="59">
        <f>SUMIFS('Status of Curriculum Completion'!$M$4:$M$38,'Status of Curriculum Completion'!$C$4:$C$38,"Geo China",'Status of Curriculum Completion'!$H$4:$H$38,"Complete")+SUMIFS('Status of Curriculum Completion'!$Z$4:$Z$38,'Status of Curriculum Completion'!$P$4:$P$38,"Geo China",'Status of Curriculum Completion'!$U$4:$U$38,"Complete")+SUMIFS('Status of Curriculum Completion'!$AM$4:$AM$38,'Status of Curriculum Completion'!$AC$4:$AC$38,"Geo China",'Status of Curriculum Completion'!$AH$4:$AH$38,"Complete")</f>
        <v>0</v>
      </c>
      <c r="F14" s="59">
        <f>SUMIFS('Status of Curriculum Completion'!$M$4:$M$38,'Status of Curriculum Completion'!$C$4:$C$38,"Geo China",'Status of Curriculum Completion'!$H$4:$H$38,"In Progress")+SUMIFS('Status of Curriculum Completion'!$Z$4:$Z$38,'Status of Curriculum Completion'!$P$4:$P$38,"Geo China",'Status of Curriculum Completion'!$U$4:$U$38,"In Progress")+SUMIFS('Status of Curriculum Completion'!$AM$4:$AM$38,'Status of Curriculum Completion'!$AC$4:$AC$38,"Geo China",'Status of Curriculum Completion'!$AH$4:$AH$38,"In Progress")</f>
        <v>0</v>
      </c>
      <c r="G14" s="59">
        <f>SUMIFS('Status of Curriculum Completion'!$M$4:$M$38,'Status of Curriculum Completion'!$C$4:$C$38,"Geo China",'Status of Curriculum Completion'!$H$4:$H$38,"Planned")+SUMIFS('Status of Curriculum Completion'!$Z$4:$Z$38,'Status of Curriculum Completion'!$P$4:$P$38,"Geo China",'Status of Curriculum Completion'!$U$4:$U$38,"Planned")+SUMIFS('Status of Curriculum Completion'!$AM$4:$AM$38,'Status of Curriculum Completion'!$AC$4:$AC$38,"Geo China",'Status of Curriculum Completion'!$AH$4:$AH$38,"Planned")</f>
        <v>0</v>
      </c>
      <c r="H14" s="59">
        <f>SUMIFS('Status of Curriculum Completion'!$M$4:$M$38,'Status of Curriculum Completion'!$C$4:$C$38,"Geo China",'Status of Curriculum Completion'!$I$4:$I$38,"Complete")+SUMIFS('Status of Curriculum Completion'!$Z$4:$Z$38,'Status of Curriculum Completion'!$P$4:$P$38,"Geo China",'Status of Curriculum Completion'!$V$4:$V$38,"Complete")+SUMIFS('Status of Curriculum Completion'!$AM$4:$AM$38,'Status of Curriculum Completion'!$AC$4:$AC$38,"Geo China",'Status of Curriculum Completion'!$AI$4:$AI$38,"Complete")</f>
        <v>0</v>
      </c>
      <c r="I14" s="59">
        <f>SUMIFS('Status of Curriculum Completion'!$M$4:$M$38,'Status of Curriculum Completion'!$C$4:$C$38,"Geo China",'Status of Curriculum Completion'!$I$4:$I$38,"In Progress")+SUMIFS('Status of Curriculum Completion'!$Z$4:$Z$38,'Status of Curriculum Completion'!$P$4:$P$38,"Geo China",'Status of Curriculum Completion'!$V$4:$V$38,"In Progress")+SUMIFS('Status of Curriculum Completion'!$AM$4:$AM$38,'Status of Curriculum Completion'!$AC$4:$AC$38,"Geo China",'Status of Curriculum Completion'!$AI$4:$AI$38,"In Progress")</f>
        <v>0</v>
      </c>
      <c r="J14" s="59">
        <f>SUMIFS('Status of Curriculum Completion'!$M$4:$M$38,'Status of Curriculum Completion'!$C$4:$C$38,"Geo China",'Status of Curriculum Completion'!$I$4:$I$38,"Planned")+SUMIFS('Status of Curriculum Completion'!$Z$4:$Z$38,'Status of Curriculum Completion'!$P$4:$P$38,"Geo China",'Status of Curriculum Completion'!$V$4:$V$38,"Planned")+SUMIFS('Status of Curriculum Completion'!$AM$4:$AM$38,'Status of Curriculum Completion'!$AC$4:$AC$38,"Geo China",'Status of Curriculum Completion'!$AI$4:$AI$38,"Planned")</f>
        <v>0</v>
      </c>
      <c r="K14" s="60">
        <f>SUMIFS('Status of Curriculum Completion'!$AZ$4:$AZ$38,'Status of Curriculum Completion'!$AP$4:$AP$38,"Geo China",'Status of Curriculum Completion'!$AT$4:$AT$38,"Complete")+SUMIFS('Status of Curriculum Completion'!$BM$4:$BM$38,'Status of Curriculum Completion'!$BC$4:$BC$38,"Geo China",'Status of Curriculum Completion'!$BG$4:$BG$38,"Complete")+SUMIFS('Status of Curriculum Completion'!$BZ$4:$BZ$38,'Status of Curriculum Completion'!$BP$4:$BP$38,"Geo China",'Status of Curriculum Completion'!$BT$4:$BT$38,"Complete")</f>
        <v>18</v>
      </c>
      <c r="L14" s="60">
        <f>SUMIFS('Status of Curriculum Completion'!$AZ$4:$AZ$38,'Status of Curriculum Completion'!$AP$4:$AP$38,"Geo China",'Status of Curriculum Completion'!$AT$4:$AT$38,"In Progress")+SUMIFS('Status of Curriculum Completion'!$BM$4:$BM$38,'Status of Curriculum Completion'!$BC$4:$BC$38,"Geo China",'Status of Curriculum Completion'!$BG$4:$BG$38,"In Progress")+SUMIFS('Status of Curriculum Completion'!$BZ$4:$BZ$38,'Status of Curriculum Completion'!$BP$4:$BP$38,"Geo China",'Status of Curriculum Completion'!$BT$4:$BT$38,"In Progress")</f>
        <v>0</v>
      </c>
      <c r="M14" s="60">
        <f>SUMIFS('Status of Curriculum Completion'!$AZ$4:$AZ$38,'Status of Curriculum Completion'!$AP$4:$AP$38,"Geo China",'Status of Curriculum Completion'!$AT$4:$AT$38,"Planned")+SUMIFS('Status of Curriculum Completion'!$BM$4:$BM$38,'Status of Curriculum Completion'!$BC$4:$BC$38,"Geo China",'Status of Curriculum Completion'!$BG$4:$BG$38,"Planned")+SUMIFS('Status of Curriculum Completion'!$BZ$4:$BZ$38,'Status of Curriculum Completion'!$BP$4:$BP$38,"Geo China",'Status of Curriculum Completion'!$BT$4:$BT$38,"Planned")</f>
        <v>0</v>
      </c>
      <c r="N14" s="60">
        <f>SUMIFS('Status of Curriculum Completion'!$AZ$4:$AZ$38,'Status of Curriculum Completion'!$AP$4:$AP$38,"Geo China",'Status of Curriculum Completion'!$AU$4:$AU$38,"Complete")+SUMIFS('Status of Curriculum Completion'!$BM$4:$BM$38,'Status of Curriculum Completion'!$BC$4:$BC$38,"Geo China",'Status of Curriculum Completion'!$BH$4:$BH$38,"Complete")+SUMIFS('Status of Curriculum Completion'!$BZ$4:$BZ$38,'Status of Curriculum Completion'!$BP$4:$BP$38,"Geo China",'Status of Curriculum Completion'!$BU$4:$BU$38,"Complete")</f>
        <v>18</v>
      </c>
      <c r="O14" s="60">
        <f>SUMIFS('Status of Curriculum Completion'!$AZ$4:$AZ$38,'Status of Curriculum Completion'!$AP$4:$AP$38,"Geo China",'Status of Curriculum Completion'!$AU$4:$AU$38,"In Progress")+SUMIFS('Status of Curriculum Completion'!$BM$4:$BM$38,'Status of Curriculum Completion'!$BC$4:$BC$38,"Geo China",'Status of Curriculum Completion'!$BH$4:$BH$38,"In Progress")+SUMIFS('Status of Curriculum Completion'!$BZ$4:$BZ$38,'Status of Curriculum Completion'!$BP$4:$BP$38,"Geo China",'Status of Curriculum Completion'!$BU$4:$BU$38,"In Progress")</f>
        <v>0</v>
      </c>
      <c r="P14" s="60">
        <f>SUMIFS('Status of Curriculum Completion'!$AZ$4:$AZ$38,'Status of Curriculum Completion'!$AP$4:$AP$38,"Geo China",'Status of Curriculum Completion'!$AU$4:$AU$38,"Planned")+SUMIFS('Status of Curriculum Completion'!$BM$4:$BM$38,'Status of Curriculum Completion'!$BC$4:$BC$38,"Geo China",'Status of Curriculum Completion'!$BH$4:$BH$38,"Planned")+SUMIFS('Status of Curriculum Completion'!$BZ$4:$BZ$38,'Status of Curriculum Completion'!$BP$4:$BP$38,"Geo China",'Status of Curriculum Completion'!$BU$4:$BU$38,"Planned")</f>
        <v>0</v>
      </c>
      <c r="Q14" s="60">
        <f>SUMIFS('Status of Curriculum Completion'!$AZ$4:$AZ$38,'Status of Curriculum Completion'!$AP$4:$AP$38,"Geo China",'Status of Curriculum Completion'!$AV$4:$AV$38,"Complete")+SUMIFS('Status of Curriculum Completion'!$BM$4:$BM$38,'Status of Curriculum Completion'!$BC$4:$BC$38,"Geo China",'Status of Curriculum Completion'!$BI$4:$BI$38,"Complete")+SUMIFS('Status of Curriculum Completion'!$BZ$4:$BZ$38,'Status of Curriculum Completion'!$BP$4:$BP$38,"Geo China",'Status of Curriculum Completion'!$BV$4:$BV$38,"Complete")</f>
        <v>18</v>
      </c>
      <c r="R14" s="60">
        <f>SUMIFS('Status of Curriculum Completion'!$AZ$4:$AZ$38,'Status of Curriculum Completion'!$AP$4:$AP$38,"Geo China",'Status of Curriculum Completion'!$AV$4:$AV$38,"In Progress")+SUMIFS('Status of Curriculum Completion'!$BM$4:$BM$38,'Status of Curriculum Completion'!$BC$4:$BC$38,"Geo China",'Status of Curriculum Completion'!$BI$4:$BI$38,"In Progress")+SUMIFS('Status of Curriculum Completion'!$BZ$4:$BZ$38,'Status of Curriculum Completion'!$BP$4:$BP$38,"Geo China",'Status of Curriculum Completion'!$BV$4:$BV$38,"In Progress")</f>
        <v>0</v>
      </c>
      <c r="S14" s="60">
        <f>SUMIFS('Status of Curriculum Completion'!$AZ$4:$AZ$38,'Status of Curriculum Completion'!$AP$4:$AP$38,"Geo China",'Status of Curriculum Completion'!$AV$4:$AV$38,"Planned")+SUMIFS('Status of Curriculum Completion'!$BM$4:$BM$38,'Status of Curriculum Completion'!$BC$4:$BC$38,"Geo China",'Status of Curriculum Completion'!$BI$4:$BI$38,"Planned")+SUMIFS('Status of Curriculum Completion'!$BZ$4:$BZ$38,'Status of Curriculum Completion'!$BP$4:$BP$38,"Geo China",'Status of Curriculum Completion'!$BV$4:$BV$38,"Planned")</f>
        <v>0</v>
      </c>
      <c r="U14" s="63" t="s">
        <v>1635</v>
      </c>
      <c r="V14" s="61">
        <f>SUMIFS('Status of Curriculum Completion'!$CM$4:$CM$38,'Status of Curriculum Completion'!$CC$4:$CC$38,"Geo China",'Status of Curriculum Completion'!$CG$4:$CG$38,"Complete")+SUMIFS('Status of Curriculum Completion'!$CZ$4:$CZ$38,'Status of Curriculum Completion'!$CP$4:$CP$38,"Geo China",'Status of Curriculum Completion'!$CT$4:$CT$38,"Complete")+SUMIFS('Status of Curriculum Completion'!$DM$4:$DM$38,'Status of Curriculum Completion'!$DC$4:$DC$38,"Geo China",'Status of Curriculum Completion'!$DG$4:$DG$38,"Complete")</f>
        <v>48</v>
      </c>
      <c r="W14" s="61">
        <f>SUMIFS('Status of Curriculum Completion'!$CM$4:$CM$38,'Status of Curriculum Completion'!$CC$4:$CC$38,"Geo China",'Status of Curriculum Completion'!$CG$4:$CG$38,"In Progress")+SUMIFS('Status of Curriculum Completion'!$CZ$4:$CZ$38,'Status of Curriculum Completion'!$CP$4:$CP$38,"Geo China",'Status of Curriculum Completion'!$CT$4:$CT$38,"In Progress")+SUMIFS('Status of Curriculum Completion'!$DM$4:$DM$38,'Status of Curriculum Completion'!$DC$4:$DC$38,"Geo China",'Status of Curriculum Completion'!$DG$4:$DG$38,"In Progress")</f>
        <v>0</v>
      </c>
      <c r="X14" s="61">
        <f>SUMIFS('Status of Curriculum Completion'!$CM$4:$CM$38,'Status of Curriculum Completion'!$CC$4:$CC$38,"Geo China",'Status of Curriculum Completion'!$CG$4:$CG$38,"Planned")+SUMIFS('Status of Curriculum Completion'!$CZ$4:$CZ$38,'Status of Curriculum Completion'!$CP$4:$CP$38,"Geo China",'Status of Curriculum Completion'!$CT$4:$CT$38,"Planned")+SUMIFS('Status of Curriculum Completion'!$DM$4:$DM$38,'Status of Curriculum Completion'!$DC$4:$DC$38,"Geo China",'Status of Curriculum Completion'!$DG$4:$DG$38,"Planned")</f>
        <v>0</v>
      </c>
      <c r="Y14" s="61">
        <f>SUMIFS('Status of Curriculum Completion'!$CM$4:$CM$38,'Status of Curriculum Completion'!$CC$4:$CC$38,"Geo China",'Status of Curriculum Completion'!$CG$4:$CG$38,"Tentative")+SUMIFS('Status of Curriculum Completion'!$CZ$4:$CZ$38,'Status of Curriculum Completion'!$CP$4:$CP$38,"Geo China",'Status of Curriculum Completion'!$CT$4:$CT$38,"Tentative")+SUMIFS('Status of Curriculum Completion'!$DM$4:$DM$38,'Status of Curriculum Completion'!$DC$4:$DC$38,"Geo China",'Status of Curriculum Completion'!$DG$4:$DG$38,"Tentative")</f>
        <v>0</v>
      </c>
      <c r="Z14" s="61">
        <f>SUMIFS('Status of Curriculum Completion'!$CM$4:$CM$38,'Status of Curriculum Completion'!$CC$4:$CC$38,"Geo China",'Status of Curriculum Completion'!$CH$4:$CH$38,"Complete")+SUMIFS('Status of Curriculum Completion'!$CZ$4:$CZ$38,'Status of Curriculum Completion'!$CP$4:$CP$38,"Geo China",'Status of Curriculum Completion'!$CU$4:$CU$38,"Complete")+SUMIFS('Status of Curriculum Completion'!$DM$4:$DM$38,'Status of Curriculum Completion'!$DC$4:$DC$38,"Geo China",'Status of Curriculum Completion'!$DH$4:$DH$38,"Complete")</f>
        <v>48</v>
      </c>
      <c r="AA14" s="61">
        <f>SUMIFS('Status of Curriculum Completion'!$CM$4:$CM$38,'Status of Curriculum Completion'!$CC$4:$CC$38,"Geo China",'Status of Curriculum Completion'!$CH$4:$CH$38,"In Progress")+SUMIFS('Status of Curriculum Completion'!$CZ$4:$CZ$38,'Status of Curriculum Completion'!$CP$4:$CP$38,"Geo China",'Status of Curriculum Completion'!$CU$4:$CU$38,"In Progress")+SUMIFS('Status of Curriculum Completion'!$DM$4:$DM$38,'Status of Curriculum Completion'!$DC$4:$DC$38,"Geo China",'Status of Curriculum Completion'!$DH$4:$DH$38,"In Progress")</f>
        <v>0</v>
      </c>
      <c r="AB14" s="61">
        <f>SUMIFS('Status of Curriculum Completion'!$CM$4:$CM$38,'Status of Curriculum Completion'!$CC$4:$CC$38,"Geo China",'Status of Curriculum Completion'!$CH$4:$CH$38,"Planned")+SUMIFS('Status of Curriculum Completion'!$CZ$4:$CZ$38,'Status of Curriculum Completion'!$CP$4:$CP$38,"Geo China",'Status of Curriculum Completion'!$CU$4:$CU$38,"Planned")+SUMIFS('Status of Curriculum Completion'!$DM$4:$DM$38,'Status of Curriculum Completion'!$DC$4:$DC$38,"Geo China",'Status of Curriculum Completion'!$DH$4:$DH$38,"Planned")</f>
        <v>0</v>
      </c>
      <c r="AC14" s="61">
        <f>SUMIFS('Status of Curriculum Completion'!$CM$4:$CM$38,'Status of Curriculum Completion'!$CC$4:$CC$38,"Geo China",'Status of Curriculum Completion'!$CH$4:$CH$38,"Tentative")+SUMIFS('Status of Curriculum Completion'!$CZ$4:$CZ$38,'Status of Curriculum Completion'!$CP$4:$CP$38,"Geo China",'Status of Curriculum Completion'!$CU$4:$CU$38,"Tentative")+SUMIFS('Status of Curriculum Completion'!$DM$4:$DM$38,'Status of Curriculum Completion'!$DC$4:$DC$38,"Geo China",'Status of Curriculum Completion'!$DH$4:$DH$38,"Tentative")</f>
        <v>0</v>
      </c>
      <c r="AD14" s="61">
        <f>SUMIFS('Status of Curriculum Completion'!$CM$4:$CM$38,'Status of Curriculum Completion'!$CC$4:$CC$38,"Geo China",'Status of Curriculum Completion'!$CI$4:$CI$38,"Complete")+SUMIFS('Status of Curriculum Completion'!$CZ$4:$CZ$38,'Status of Curriculum Completion'!$CP$4:$CP$38,"Geo China",'Status of Curriculum Completion'!$CV$4:$CV$38,"Complete")+SUMIFS('Status of Curriculum Completion'!$DM$4:$DM$38,'Status of Curriculum Completion'!$DC$4:$DC$38,"Geo China",'Status of Curriculum Completion'!$DI$4:$DI$38,"Complete")</f>
        <v>2</v>
      </c>
      <c r="AE14" s="61">
        <f>SUMIFS('Status of Curriculum Completion'!$CM$4:$CM$38,'Status of Curriculum Completion'!$CC$4:$CC$38,"Geo China",'Status of Curriculum Completion'!$CI$4:$CI$38,"In Progress")+SUMIFS('Status of Curriculum Completion'!$CZ$4:$CZ$38,'Status of Curriculum Completion'!$CP$4:$CP$38,"Geo China",'Status of Curriculum Completion'!$CV$4:$CV$38,"In Progress")+SUMIFS('Status of Curriculum Completion'!$DM$4:$DM$38,'Status of Curriculum Completion'!$DC$4:$DC$38,"Geo China",'Status of Curriculum Completion'!$DI$4:$DI$38,"In Progress")</f>
        <v>46</v>
      </c>
      <c r="AF14" s="61">
        <f>SUMIFS('Status of Curriculum Completion'!$CM$4:$CM$38,'Status of Curriculum Completion'!$CC$4:$CC$38,"Geo China",'Status of Curriculum Completion'!$CI$4:$CI$38,"Planned")+SUMIFS('Status of Curriculum Completion'!$CZ$4:$CZ$38,'Status of Curriculum Completion'!$CP$4:$CP$38,"Geo China",'Status of Curriculum Completion'!$CV$4:$CV$38,"Planned")+SUMIFS('Status of Curriculum Completion'!$DM$4:$DM$38,'Status of Curriculum Completion'!$DC$4:$DC$38,"Geo China",'Status of Curriculum Completion'!$DI$4:$DI$38,"Planned")</f>
        <v>0</v>
      </c>
      <c r="AG14" s="61">
        <f>SUMIFS('Status of Curriculum Completion'!$CM$4:$CM$38,'Status of Curriculum Completion'!$CC$4:$CC$38,"Geo China",'Status of Curriculum Completion'!$CI$4:$CI$38,"Tentative")+SUMIFS('Status of Curriculum Completion'!$CZ$4:$CZ$38,'Status of Curriculum Completion'!$CP$4:$CP$38,"Geo China",'Status of Curriculum Completion'!$CV$4:$CV$38,"Tentative")+SUMIFS('Status of Curriculum Completion'!$DM$4:$DM$38,'Status of Curriculum Completion'!$DC$4:$DC$38,"Geo China",'Status of Curriculum Completion'!$DI$4:$DI$38,"Tentative")</f>
        <v>0</v>
      </c>
      <c r="AH14" s="62">
        <f>SUMIFS('Status of Curriculum Completion'!$DZ$4:$DZ$38,'Status of Curriculum Completion'!$DP$4:$DP$38,"Geo China",'Status of Curriculum Completion'!$DT$4:$DT$38,"Complete")+SUMIFS('Status of Curriculum Completion'!$EM$4:$EM$38,'Status of Curriculum Completion'!$EC$4:$EC$38,"Geo China",'Status of Curriculum Completion'!$EG$4:$EG$38,"Complete")+SUMIFS('Status of Curriculum Completion'!$EZ$4:$EZ$38,'Status of Curriculum Completion'!$EP$4:$EP$38,"Geo China",'Status of Curriculum Completion'!$ET$4:$ET$38,"Complete")</f>
        <v>0</v>
      </c>
      <c r="AI14" s="62">
        <f>SUMIFS('Status of Curriculum Completion'!$DZ$4:$DZ$38,'Status of Curriculum Completion'!$DP$4:$DP$38,"Geo China",'Status of Curriculum Completion'!$DT$4:$DT$38,"In Progress")+SUMIFS('Status of Curriculum Completion'!$EM$4:$EM$38,'Status of Curriculum Completion'!$EC$4:$EC$38,"Geo China",'Status of Curriculum Completion'!$EG$4:$EG$38,"In Progress")+SUMIFS('Status of Curriculum Completion'!$EZ$4:$EZ$38,'Status of Curriculum Completion'!$EP$4:$EP$38,"Geo China",'Status of Curriculum Completion'!$ET$4:$ET$38,"In Progress")</f>
        <v>0</v>
      </c>
      <c r="AJ14" s="62">
        <f>SUMIFS('Status of Curriculum Completion'!$DZ$4:$DZ$38,'Status of Curriculum Completion'!$DP$4:$DP$38,"Geo China",'Status of Curriculum Completion'!$DT$4:$DT$38,"Planned")+SUMIFS('Status of Curriculum Completion'!$EM$4:$EM$38,'Status of Curriculum Completion'!$EC$4:$EC$38,"Geo China",'Status of Curriculum Completion'!$EG$4:$EG$38,"Planned")+SUMIFS('Status of Curriculum Completion'!$EZ$4:$EZ$38,'Status of Curriculum Completion'!$EP$4:$EP$38,"Geo China",'Status of Curriculum Completion'!$ET$4:$ET$38,"Planned")</f>
        <v>0</v>
      </c>
      <c r="AK14" s="62">
        <f>SUMIFS('Status of Curriculum Completion'!$DZ$4:$DZ$38,'Status of Curriculum Completion'!$DP$4:$DP$38,"Geo China",'Status of Curriculum Completion'!$DT$4:$DT$38,"Tentative")+SUMIFS('Status of Curriculum Completion'!$EM$4:$EM$38,'Status of Curriculum Completion'!$EC$4:$EC$38,"Geo China",'Status of Curriculum Completion'!$EG$4:$EG$38,"Tentative")+SUMIFS('Status of Curriculum Completion'!$EZ$4:$EZ$38,'Status of Curriculum Completion'!$EP$4:$EP$38,"Geo China",'Status of Curriculum Completion'!$ET$4:$ET$38,"Tentative")</f>
        <v>0</v>
      </c>
      <c r="AL14" s="62">
        <f>SUMIFS('Status of Curriculum Completion'!$DZ$4:$DZ$38,'Status of Curriculum Completion'!$DP$4:$DP$38,"Geo China",'Status of Curriculum Completion'!$DU$4:$DU$38,"Complete")+SUMIFS('Status of Curriculum Completion'!$EM$4:$EM$38,'Status of Curriculum Completion'!$EC$4:$EC$38,"Geo China",'Status of Curriculum Completion'!$EH$4:$EH$38,"Complete")+SUMIFS('Status of Curriculum Completion'!$EZ$4:$EZ$38,'Status of Curriculum Completion'!$EP$4:$EP$38,"Geo China",'Status of Curriculum Completion'!$EU$4:$EU$38,"Complete")</f>
        <v>0</v>
      </c>
      <c r="AM14" s="62">
        <f>SUMIFS('Status of Curriculum Completion'!$DZ$4:$DZ$38,'Status of Curriculum Completion'!$DP$4:$DP$38,"Geo China",'Status of Curriculum Completion'!$DU$4:$DU$38,"In Progress")+SUMIFS('Status of Curriculum Completion'!$EM$4:$EM$38,'Status of Curriculum Completion'!$EC$4:$EC$38,"Geo China",'Status of Curriculum Completion'!$EH$4:$EH$38,"In Progress")+SUMIFS('Status of Curriculum Completion'!$EZ$4:$EZ$38,'Status of Curriculum Completion'!$EP$4:$EP$38,"Geo China",'Status of Curriculum Completion'!$EU$4:$EU$38,"In Progress")</f>
        <v>0</v>
      </c>
      <c r="AN14" s="62">
        <f>SUMIFS('Status of Curriculum Completion'!$DZ$4:$DZ$38,'Status of Curriculum Completion'!$DP$4:$DP$38,"Geo China",'Status of Curriculum Completion'!$DU$4:$DU$38,"Planned")+SUMIFS('Status of Curriculum Completion'!$EM$4:$EM$38,'Status of Curriculum Completion'!$EC$4:$EC$38,"Geo China",'Status of Curriculum Completion'!$EH$4:$EH$38,"Planned")+SUMIFS('Status of Curriculum Completion'!$EZ$4:$EZ$38,'Status of Curriculum Completion'!$EP$4:$EP$38,"Geo China",'Status of Curriculum Completion'!$EU$4:$EU$38,"Planned")</f>
        <v>0</v>
      </c>
      <c r="AO14" s="62">
        <f>SUMIFS('Status of Curriculum Completion'!$DZ$4:$DZ$38,'Status of Curriculum Completion'!$DP$4:$DP$38,"Geo China",'Status of Curriculum Completion'!$DU$4:$DU$38,"Tentative")+SUMIFS('Status of Curriculum Completion'!$EM$4:$EM$38,'Status of Curriculum Completion'!$EC$4:$EC$38,"Geo China",'Status of Curriculum Completion'!$EH$4:$EH$38,"Tentative")+SUMIFS('Status of Curriculum Completion'!$EZ$4:$EZ$38,'Status of Curriculum Completion'!$EP$4:$EP$38,"Geo China",'Status of Curriculum Completion'!$EU$4:$EU$38,"Tentative")</f>
        <v>0</v>
      </c>
      <c r="AP14" s="62">
        <f>SUMIFS('Status of Curriculum Completion'!$DZ$4:$DZ$38,'Status of Curriculum Completion'!$DP$4:$DP$38,"Geo China",'Status of Curriculum Completion'!$DV$4:$DV$38,"Complete")+SUMIFS('Status of Curriculum Completion'!$EM$4:$EM$38,'Status of Curriculum Completion'!$EC$4:$EC$38,"Geo China",'Status of Curriculum Completion'!$EI$4:$EI$38,"Complete")+SUMIFS('Status of Curriculum Completion'!$EZ$4:$EZ$38,'Status of Curriculum Completion'!$EP$4:$EP$38,"Geo China",'Status of Curriculum Completion'!$EV$4:$EV$38,"Complete")</f>
        <v>0</v>
      </c>
      <c r="AQ14" s="62">
        <f>SUMIFS('Status of Curriculum Completion'!$DZ$4:$DZ$38,'Status of Curriculum Completion'!$DP$4:$DP$38,"Geo China",'Status of Curriculum Completion'!$DV$4:$DV$38,"In Progress")+SUMIFS('Status of Curriculum Completion'!$EM$4:$EM$38,'Status of Curriculum Completion'!$EC$4:$EC$38,"Geo China",'Status of Curriculum Completion'!$EI$4:$EI$38,"In Progress")+SUMIFS('Status of Curriculum Completion'!$EZ$4:$EZ$38,'Status of Curriculum Completion'!$EP$4:$EP$38,"Geo China",'Status of Curriculum Completion'!$EV$4:$EV$38,"In Progress")</f>
        <v>0</v>
      </c>
      <c r="AR14" s="62">
        <f>SUMIFS('Status of Curriculum Completion'!$DZ$4:$DZ$38,'Status of Curriculum Completion'!$DP$4:$DP$38,"Geo China",'Status of Curriculum Completion'!$DV$4:$DV$38,"Planned")+SUMIFS('Status of Curriculum Completion'!$EM$4:$EM$38,'Status of Curriculum Completion'!$EC$4:$EC$38,"Geo China",'Status of Curriculum Completion'!$EI$4:$EI$38,"Planned")+SUMIFS('Status of Curriculum Completion'!$EZ$4:$EZ$38,'Status of Curriculum Completion'!$EP$4:$EP$38,"Geo China",'Status of Curriculum Completion'!$EV$4:$EV$38,"Planned")</f>
        <v>0</v>
      </c>
      <c r="AS14" s="62">
        <f>SUMIFS('Status of Curriculum Completion'!$DZ$4:$DZ$38,'Status of Curriculum Completion'!$DP$4:$DP$38,"Geo China",'Status of Curriculum Completion'!$DV$4:$DV$38,"Tentative")+SUMIFS('Status of Curriculum Completion'!$EM$4:$EM$38,'Status of Curriculum Completion'!$EC$4:$EC$38,"Geo China",'Status of Curriculum Completion'!$EI$4:$EI$38,"Tentative")+SUMIFS('Status of Curriculum Completion'!$EZ$4:$EZ$38,'Status of Curriculum Completion'!$EP$4:$EP$38,"Geo China",'Status of Curriculum Completion'!$EV$4:$EV$38,"Tentative")</f>
        <v>0</v>
      </c>
    </row>
    <row r="15" spans="1:45" ht="29.5" thickBot="1">
      <c r="A15" s="63" t="s">
        <v>1636</v>
      </c>
      <c r="B15" s="59">
        <f>SUMIFS('Status of Curriculum Completion'!M$4:M$38,'Status of Curriculum Completion'!C$4:C$38,"Japan",'Status of Curriculum Completion'!G$4:G$38,"Complete")+SUMIFS('Status of Curriculum Completion'!Z$4:Z$38,'Status of Curriculum Completion'!P$4:P$38,"Japan",'Status of Curriculum Completion'!T$4:T$38,"Complete")+SUMIFS('Status of Curriculum Completion'!AM$4:AM$38,'Status of Curriculum Completion'!AC$4:AC$38,"Japan",'Status of Curriculum Completion'!AG$4:AG$38,"Complete")</f>
        <v>0</v>
      </c>
      <c r="C15" s="59">
        <f>SUMIFS('Status of Curriculum Completion'!$M$4:$M$38,'Status of Curriculum Completion'!$C$4:$C$38,"Japan",'Status of Curriculum Completion'!$G$4:$G$38,"In progress")+SUMIFS('Status of Curriculum Completion'!$Z$4:$Z$38,'Status of Curriculum Completion'!$P$4:$P$38,"Japan",'Status of Curriculum Completion'!$T$4:$T$38,"In progress")+SUMIFS('Status of Curriculum Completion'!$AM$4:$AM$38,'Status of Curriculum Completion'!$AC$4:$AC$38,"Japan",'Status of Curriculum Completion'!$AG$4:$AG$38,"In progress")</f>
        <v>0</v>
      </c>
      <c r="D15" s="59">
        <f>SUMIFS('Status of Curriculum Completion'!$M$4:$M$38,'Status of Curriculum Completion'!$C$4:$C$38,"Japan",'Status of Curriculum Completion'!$G$4:$G$38,"Planned")+SUMIFS('Status of Curriculum Completion'!$Z$4:$Z$38,'Status of Curriculum Completion'!$P$4:$P$38,"Japan",'Status of Curriculum Completion'!$T$4:$T$38,"Planned")+SUMIFS('Status of Curriculum Completion'!$AM$4:$AM$38,'Status of Curriculum Completion'!$AC$4:$AC$38,"Japan",'Status of Curriculum Completion'!$AG$4:$AG$38,"Planned")</f>
        <v>0</v>
      </c>
      <c r="E15" s="59">
        <f>SUMIFS('Status of Curriculum Completion'!$M$4:$M$38,'Status of Curriculum Completion'!$C$4:$C$38,"Japan",'Status of Curriculum Completion'!$H$4:$H$38,"Complete")+SUMIFS('Status of Curriculum Completion'!$Z$4:$Z$38,'Status of Curriculum Completion'!$P$4:$P$38,"Japan",'Status of Curriculum Completion'!$U$4:$U$38,"Complete")+SUMIFS('Status of Curriculum Completion'!$AM$4:$AM$38,'Status of Curriculum Completion'!$AC$4:$AC$38,"Japan",'Status of Curriculum Completion'!$AH$4:$AH$38,"Complete")</f>
        <v>0</v>
      </c>
      <c r="F15" s="59">
        <f>SUMIFS('Status of Curriculum Completion'!$M$4:$M$38,'Status of Curriculum Completion'!$C$4:$C$38,"Japan",'Status of Curriculum Completion'!$H$4:$H$38,"In Progress")+SUMIFS('Status of Curriculum Completion'!$Z$4:$Z$38,'Status of Curriculum Completion'!$P$4:$P$38,"Japan",'Status of Curriculum Completion'!$U$4:$U$38,"In Progress")+SUMIFS('Status of Curriculum Completion'!$AM$4:$AM$38,'Status of Curriculum Completion'!$AC$4:$AC$38,"Japan",'Status of Curriculum Completion'!$AH$4:$AH$38,"In Progress")</f>
        <v>0</v>
      </c>
      <c r="G15" s="59">
        <f>SUMIFS('Status of Curriculum Completion'!$M$4:$M$38,'Status of Curriculum Completion'!$C$4:$C$38,"Japan",'Status of Curriculum Completion'!$H$4:$H$38,"Planned")+SUMIFS('Status of Curriculum Completion'!$Z$4:$Z$38,'Status of Curriculum Completion'!$P$4:$P$38,"Japan",'Status of Curriculum Completion'!$U$4:$U$38,"Planned")+SUMIFS('Status of Curriculum Completion'!$AM$4:$AM$38,'Status of Curriculum Completion'!$AC$4:$AC$38,"Japan",'Status of Curriculum Completion'!$AH$4:$AH$38,"Planned")</f>
        <v>0</v>
      </c>
      <c r="H15" s="59">
        <f>SUMIFS('Status of Curriculum Completion'!$M$4:$M$38,'Status of Curriculum Completion'!$C$4:$C$38,"Japan",'Status of Curriculum Completion'!$I$4:$I$38,"Complete")+SUMIFS('Status of Curriculum Completion'!$Z$4:$Z$38,'Status of Curriculum Completion'!$P$4:$P$38,"Japan",'Status of Curriculum Completion'!$V$5:$V$39,"Complete")+SUMIFS('Status of Curriculum Completion'!$AM$4:$AM$38,'Status of Curriculum Completion'!$AC$4:$AC$38,"Japan",'Status of Curriculum Completion'!$AI$4:$AI$38,"Complete")</f>
        <v>0</v>
      </c>
      <c r="I15" s="59">
        <f>SUMIFS('Status of Curriculum Completion'!$M$4:$M$38,'Status of Curriculum Completion'!$C$4:$C$38,"Japan",'Status of Curriculum Completion'!$I$4:$I$38,"In Progress")+SUMIFS('Status of Curriculum Completion'!$Z$4:$Z$38,'Status of Curriculum Completion'!$P$4:$P$38,"Japan",'Status of Curriculum Completion'!$V$5:$V$39,"In Progress")+SUMIFS('Status of Curriculum Completion'!$AM$4:$AM$38,'Status of Curriculum Completion'!$AC$4:$AC$38,"Japan",'Status of Curriculum Completion'!$AI$4:$AI$38,"In Progress")</f>
        <v>0</v>
      </c>
      <c r="J15" s="59">
        <f>SUMIFS('Status of Curriculum Completion'!$M$4:$M$38,'Status of Curriculum Completion'!$C$4:$C$38,"Japan",'Status of Curriculum Completion'!$I$4:$I$38,"Planned")+SUMIFS('Status of Curriculum Completion'!$Z$4:$Z$38,'Status of Curriculum Completion'!$P$4:$P$38,"Japan",'Status of Curriculum Completion'!$V$5:$V$39,"Planned")+SUMIFS('Status of Curriculum Completion'!$AM$4:$AM$38,'Status of Curriculum Completion'!$AC$4:$AC$38,"Japan",'Status of Curriculum Completion'!$AI$4:$AI$38,"Planned")</f>
        <v>0</v>
      </c>
      <c r="K15" s="60">
        <f>SUMIFS('Status of Curriculum Completion'!$AZ$4:$AZ$38,'Status of Curriculum Completion'!$AP$4:$AP$38,"Japan",'Status of Curriculum Completion'!$AT$4:$AT$38,"Complete")+SUMIFS('Status of Curriculum Completion'!$BM$4:$BM$38,'Status of Curriculum Completion'!$BC$4:$BC$38,"Japan",'Status of Curriculum Completion'!$BG$4:$BG$38,"Complete")+SUMIFS('Status of Curriculum Completion'!$BZ$4:$BZ$38,'Status of Curriculum Completion'!$BP$4:$BP$38,"Japan",'Status of Curriculum Completion'!$BT$4:$BT$38,"Complete")</f>
        <v>520</v>
      </c>
      <c r="L15" s="60">
        <f>SUMIFS('Status of Curriculum Completion'!$AZ$4:$AZ$38,'Status of Curriculum Completion'!$AP$4:$AP$38,"Japan",'Status of Curriculum Completion'!$AT$4:$AT$38,"In Progress")+SUMIFS('Status of Curriculum Completion'!$BM$4:$BM$38,'Status of Curriculum Completion'!$BC$4:$BC$38,"Japan",'Status of Curriculum Completion'!$BG$4:$BG$38,"In Progress")+SUMIFS('Status of Curriculum Completion'!$BZ$4:$BZ$38,'Status of Curriculum Completion'!$BP$4:$BP$38,"Japan",'Status of Curriculum Completion'!$BT$4:$BT$38,"In Progress")</f>
        <v>0</v>
      </c>
      <c r="M15" s="60">
        <f>SUMIFS('Status of Curriculum Completion'!$AZ$4:$AZ$38,'Status of Curriculum Completion'!$AP$4:$AP$38,"Japan",'Status of Curriculum Completion'!$AT$4:$AT$38,"Planned")+SUMIFS('Status of Curriculum Completion'!$BM$4:$BM$38,'Status of Curriculum Completion'!$BC$4:$BC$38,"Japan",'Status of Curriculum Completion'!$BG$4:$BG$38,"Planned")+SUMIFS('Status of Curriculum Completion'!$BZ$4:$BZ$38,'Status of Curriculum Completion'!$BP$4:$BP$38,"Japan",'Status of Curriculum Completion'!$BT$4:$BT$38,"Planned")</f>
        <v>0</v>
      </c>
      <c r="N15" s="60">
        <f>SUMIFS('Status of Curriculum Completion'!$AZ$4:$AZ$38,'Status of Curriculum Completion'!$AP$4:$AP$38,"Japan",'Status of Curriculum Completion'!$AU$4:$AU$38,"Complete")+SUMIFS('Status of Curriculum Completion'!$BM$4:$BM$38,'Status of Curriculum Completion'!$BC$4:$BC$38,"Japan",'Status of Curriculum Completion'!$BH$4:$BH$38,"Complete")+SUMIFS('Status of Curriculum Completion'!$BZ$4:$BZ$38,'Status of Curriculum Completion'!$BP$4:$BP$38,"Japan",'Status of Curriculum Completion'!$BU$4:$BU$38,"Complete")</f>
        <v>520</v>
      </c>
      <c r="O15" s="60">
        <f>SUMIFS('Status of Curriculum Completion'!$AZ$4:$AZ$38,'Status of Curriculum Completion'!$AP$4:$AP$38,"Japan",'Status of Curriculum Completion'!$AU$4:$AU$38,"In Progress")+SUMIFS('Status of Curriculum Completion'!$BM$4:$BM$38,'Status of Curriculum Completion'!$BC$4:$BC$38,"Japan",'Status of Curriculum Completion'!$BH$4:$BH$38,"In Progress")+SUMIFS('Status of Curriculum Completion'!$BZ$4:$BZ$38,'Status of Curriculum Completion'!$BP$4:$BP$38,"Japan",'Status of Curriculum Completion'!$BU$4:$BU$38,"In Progress")</f>
        <v>0</v>
      </c>
      <c r="P15" s="60">
        <f>SUMIFS('Status of Curriculum Completion'!$AZ$4:$AZ$38,'Status of Curriculum Completion'!$AP$4:$AP$38,"Japan",'Status of Curriculum Completion'!$AU$4:$AU$38,"Planned")+SUMIFS('Status of Curriculum Completion'!$BM$4:$BM$38,'Status of Curriculum Completion'!$BC$4:$BC$38,"Japan",'Status of Curriculum Completion'!$BH$4:$BH$38,"Planned")+SUMIFS('Status of Curriculum Completion'!$BZ$4:$BZ$38,'Status of Curriculum Completion'!$BP$4:$BP$38,"Japan",'Status of Curriculum Completion'!$BU$4:$BU$38,"Planned")</f>
        <v>0</v>
      </c>
      <c r="Q15" s="60">
        <f>SUMIFS('Status of Curriculum Completion'!$AZ$4:$AZ$38,'Status of Curriculum Completion'!$AP$4:$AP$38,"Japan",'Status of Curriculum Completion'!$AV$4:$AV$38,"Complete")+SUMIFS('Status of Curriculum Completion'!$BM$4:$BM$38,'Status of Curriculum Completion'!$BC$4:$BC$38,"Japan",'Status of Curriculum Completion'!$BI$4:$BI$38,"Complete")+SUMIFS('Status of Curriculum Completion'!$BZ$4:$BZ$38,'Status of Curriculum Completion'!$BP$4:$BP$38,"Japan",'Status of Curriculum Completion'!$BV$4:$BV$38,"Complete")</f>
        <v>520</v>
      </c>
      <c r="R15" s="60">
        <f>SUMIFS('Status of Curriculum Completion'!$AZ$4:$AZ$38,'Status of Curriculum Completion'!$AP$4:$AP$38,"Japan",'Status of Curriculum Completion'!$AV$4:$AV$38,"In Progress")+SUMIFS('Status of Curriculum Completion'!$BM$4:$BM$38,'Status of Curriculum Completion'!$BC$4:$BC$38,"Japan",'Status of Curriculum Completion'!$BI$4:$BI$38,"In Progress")+SUMIFS('Status of Curriculum Completion'!$BZ$4:$BZ$38,'Status of Curriculum Completion'!$BP$4:$BP$38,"Japan",'Status of Curriculum Completion'!$BV$4:$BV$38,"In Progress")</f>
        <v>0</v>
      </c>
      <c r="S15" s="60">
        <f>SUMIFS('Status of Curriculum Completion'!$AZ$4:$AZ$38,'Status of Curriculum Completion'!$AP$4:$AP$38,"Japan",'Status of Curriculum Completion'!$AV$4:$AV$38,"Planned")+SUMIFS('Status of Curriculum Completion'!$BM$4:$BM$38,'Status of Curriculum Completion'!$BC$4:$BC$38,"Japan",'Status of Curriculum Completion'!$BI$4:$BI$38,"Planned")+SUMIFS('Status of Curriculum Completion'!$BZ$4:$BZ$38,'Status of Curriculum Completion'!$BP$4:$BP$38,"Japan",'Status of Curriculum Completion'!$BV$4:$BV$38,"Planned")</f>
        <v>0</v>
      </c>
      <c r="U15" s="63" t="s">
        <v>1636</v>
      </c>
      <c r="V15" s="61">
        <f>SUMIFS('Status of Curriculum Completion'!$CM$4:$CM$38,'Status of Curriculum Completion'!$CC$4:$CC$38,"Japan",'Status of Curriculum Completion'!$CG$4:$CG$38,"Complete")+SUMIFS('Status of Curriculum Completion'!$CZ$4:$CZ$38,'Status of Curriculum Completion'!$CP$4:$CP$38,"Japan",'Status of Curriculum Completion'!$CT$4:$CT$38,"Complete")+SUMIFS('Status of Curriculum Completion'!$DM$4:$DM$38,'Status of Curriculum Completion'!$DC$4:$DC$38,"Japan",'Status of Curriculum Completion'!$DG$4:$DG$38,"Complete")</f>
        <v>0</v>
      </c>
      <c r="W15" s="61">
        <f>SUMIFS('Status of Curriculum Completion'!$CM$4:$CM$38,'Status of Curriculum Completion'!$CC$4:$CC$38,"Japan",'Status of Curriculum Completion'!$CG$4:$CG$38,"In Progress")+SUMIFS('Status of Curriculum Completion'!$CZ$4:$CZ$38,'Status of Curriculum Completion'!$CP$4:$CP$38,"Japan",'Status of Curriculum Completion'!$CT$4:$CT$38,"In Progress")+SUMIFS('Status of Curriculum Completion'!$DM$4:$DM$38,'Status of Curriculum Completion'!$DC$4:$DC$38,"Japan",'Status of Curriculum Completion'!$DG$4:$DG$38,"In Progress")</f>
        <v>0</v>
      </c>
      <c r="X15" s="61">
        <f>SUMIFS('Status of Curriculum Completion'!$CM$4:$CM$38,'Status of Curriculum Completion'!$CC$4:$CC$38,"Japan",'Status of Curriculum Completion'!$CG$4:$CG$38,"Planned")+SUMIFS('Status of Curriculum Completion'!$CZ$4:$CZ$38,'Status of Curriculum Completion'!$CP$4:$CP$38,"Japan",'Status of Curriculum Completion'!$CT$4:$CT$38,"Planned")+SUMIFS('Status of Curriculum Completion'!$DM$4:$DM$38,'Status of Curriculum Completion'!$DC$4:$DC$38,"Japan",'Status of Curriculum Completion'!$DG$4:$DG$38,"Planned")</f>
        <v>0</v>
      </c>
      <c r="Y15" s="61">
        <f>SUMIFS('Status of Curriculum Completion'!$CM$4:$CM$38,'Status of Curriculum Completion'!$CC$4:$CC$38,"Japan",'Status of Curriculum Completion'!$CG$4:$CG$38,"Tentative")+SUMIFS('Status of Curriculum Completion'!$CZ$4:$CZ$38,'Status of Curriculum Completion'!$CP$4:$CP$38,"Japan",'Status of Curriculum Completion'!$CT$4:$CT$38,"Tentative")+SUMIFS('Status of Curriculum Completion'!$DM$4:$DM$38,'Status of Curriculum Completion'!$DC$4:$DC$38,"Japan",'Status of Curriculum Completion'!$DG$4:$DG$38,"Tentative")</f>
        <v>0</v>
      </c>
      <c r="Z15" s="61">
        <f>SUMIFS('Status of Curriculum Completion'!$CM$4:$CM$38,'Status of Curriculum Completion'!$CC$4:$CC$38,"Japan",'Status of Curriculum Completion'!$CH$4:$CH$38,"Complete")+SUMIFS('Status of Curriculum Completion'!$CZ$4:$CZ$38,'Status of Curriculum Completion'!$CP$4:$CP$38,"Japan",'Status of Curriculum Completion'!$CU$4:$CU$38,"Complete")+SUMIFS('Status of Curriculum Completion'!$DM$4:$DM$38,'Status of Curriculum Completion'!$DC$4:$DC$38,"Japan",'Status of Curriculum Completion'!$DH$4:$DH$38,"Complete")</f>
        <v>0</v>
      </c>
      <c r="AA15" s="61">
        <f>SUMIFS('Status of Curriculum Completion'!$CM$4:$CM$38,'Status of Curriculum Completion'!$CC$4:$CC$38,"Japan",'Status of Curriculum Completion'!$CH$4:$CH$38,"In Progress")+SUMIFS('Status of Curriculum Completion'!$CZ$4:$CZ$38,'Status of Curriculum Completion'!$CP$4:$CP$38,"Japan",'Status of Curriculum Completion'!$CU$4:$CU$38,"In Progress")+SUMIFS('Status of Curriculum Completion'!$DM$4:$DM$38,'Status of Curriculum Completion'!$DC$4:$DC$38,"Japan",'Status of Curriculum Completion'!$DH$4:$DH$38,"In Progress")</f>
        <v>0</v>
      </c>
      <c r="AB15" s="61">
        <f>SUMIFS('Status of Curriculum Completion'!$CM$4:$CM$38,'Status of Curriculum Completion'!$CC$4:$CC$38,"Japan",'Status of Curriculum Completion'!$CH$4:$CH$38,"Planned")+SUMIFS('Status of Curriculum Completion'!$CZ$4:$CZ$38,'Status of Curriculum Completion'!$CP$4:$CP$38,"Japan",'Status of Curriculum Completion'!$CU$4:$CU$38,"Planned")+SUMIFS('Status of Curriculum Completion'!$DM$4:$DM$38,'Status of Curriculum Completion'!$DC$4:$DC$38,"Japan",'Status of Curriculum Completion'!$DH$4:$DH$38,"Planned")</f>
        <v>0</v>
      </c>
      <c r="AC15" s="61">
        <f>SUMIFS('Status of Curriculum Completion'!$CM$4:$CM$38,'Status of Curriculum Completion'!$CC$4:$CC$38,"Japan",'Status of Curriculum Completion'!$CH$4:$CH$38,"Tentative")+SUMIFS('Status of Curriculum Completion'!$CZ$4:$CZ$38,'Status of Curriculum Completion'!$CP$4:$CP$38,"Japan",'Status of Curriculum Completion'!$CU$4:$CU$38,"Tentative")+SUMIFS('Status of Curriculum Completion'!$DM$4:$DM$38,'Status of Curriculum Completion'!$DC$4:$DC$38,"Japan",'Status of Curriculum Completion'!$DH$4:$DH$38,"Tentative")</f>
        <v>0</v>
      </c>
      <c r="AD15" s="61">
        <f>SUMIFS('Status of Curriculum Completion'!$CM$4:$CM$38,'Status of Curriculum Completion'!$CC$4:$CC$38,"Japan",'Status of Curriculum Completion'!$CI$4:$CI$38,"Complete")+SUMIFS('Status of Curriculum Completion'!$CZ$4:$CZ$38,'Status of Curriculum Completion'!$CP$4:$CP$38,"Japan",'Status of Curriculum Completion'!$CV$4:$CV$38,"Complete")+SUMIFS('Status of Curriculum Completion'!$DM$4:$DM$38,'Status of Curriculum Completion'!$DC$4:$DC$38,"Japan",'Status of Curriculum Completion'!$DI$4:$DI$38,"Complete")</f>
        <v>0</v>
      </c>
      <c r="AE15" s="61">
        <f>SUMIFS('Status of Curriculum Completion'!$CM$4:$CM$38,'Status of Curriculum Completion'!$CC$4:$CC$38,"Japan",'Status of Curriculum Completion'!$CI$4:$CI$38,"In Progress")+SUMIFS('Status of Curriculum Completion'!$CZ$4:$CZ$38,'Status of Curriculum Completion'!$CP$4:$CP$38,"Japan",'Status of Curriculum Completion'!$CV$4:$CV$38,"In Progress")+SUMIFS('Status of Curriculum Completion'!$DM$4:$DM$38,'Status of Curriculum Completion'!$DC$4:$DC$38,"Japan",'Status of Curriculum Completion'!$DI$4:$DI$38,"In Progress")</f>
        <v>0</v>
      </c>
      <c r="AF15" s="61">
        <f>SUMIFS('Status of Curriculum Completion'!$CM$4:$CM$38,'Status of Curriculum Completion'!$CC$4:$CC$38,"Japan",'Status of Curriculum Completion'!$CI$4:$CI$38,"Planned")+SUMIFS('Status of Curriculum Completion'!$CZ$4:$CZ$38,'Status of Curriculum Completion'!$CP$4:$CP$38,"Japan",'Status of Curriculum Completion'!$CV$4:$CV$38,"Planned")+SUMIFS('Status of Curriculum Completion'!$DM$4:$DM$38,'Status of Curriculum Completion'!$DC$4:$DC$38,"Japan",'Status of Curriculum Completion'!$DI$4:$DI$38,"Planned")</f>
        <v>0</v>
      </c>
      <c r="AG15" s="61">
        <f>SUMIFS('Status of Curriculum Completion'!$CM$4:$CM$38,'Status of Curriculum Completion'!$CC$4:$CC$38,"Japan",'Status of Curriculum Completion'!$CI$4:$CI$38,"Tentative")+SUMIFS('Status of Curriculum Completion'!$CZ$4:$CZ$38,'Status of Curriculum Completion'!$CP$4:$CP$38,"Japan",'Status of Curriculum Completion'!$CV$4:$CV$38,"Tentative")+SUMIFS('Status of Curriculum Completion'!$DM$4:$DM$38,'Status of Curriculum Completion'!$DC$4:$DC$38,"Japan",'Status of Curriculum Completion'!$DI$4:$DI$38,"Tentative")</f>
        <v>0</v>
      </c>
      <c r="AH15" s="62">
        <f>SUMIFS('Status of Curriculum Completion'!$DZ$4:$DZ$38,'Status of Curriculum Completion'!$DP$4:$DP$38,"Japan",'Status of Curriculum Completion'!$DT$4:$DT$38,"Complete")+SUMIFS('Status of Curriculum Completion'!$EM$4:$EM$38,'Status of Curriculum Completion'!$EC$4:$EC$38,"Japan",'Status of Curriculum Completion'!$EG$4:$EG$38,"Complete")+SUMIFS('Status of Curriculum Completion'!$EZ$4:$EZ$38,'Status of Curriculum Completion'!$EP$4:$EP$38,"Japan",'Status of Curriculum Completion'!$ET$4:$ET$38,"Complete")</f>
        <v>20</v>
      </c>
      <c r="AI15" s="62">
        <f>SUMIFS('Status of Curriculum Completion'!$DZ$4:$DZ$38,'Status of Curriculum Completion'!$DP$4:$DP$38,"Japan",'Status of Curriculum Completion'!$DT$4:$DT$38,"In Progress")+SUMIFS('Status of Curriculum Completion'!$EM$4:$EM$38,'Status of Curriculum Completion'!$EC$4:$EC$38,"Japan",'Status of Curriculum Completion'!$EG$4:$EG$38,"In Progress")+SUMIFS('Status of Curriculum Completion'!$EZ$4:$EZ$38,'Status of Curriculum Completion'!$EP$4:$EP$38,"Japan",'Status of Curriculum Completion'!$ET$4:$ET$38,"In Progress")</f>
        <v>0</v>
      </c>
      <c r="AJ15" s="62">
        <f>SUMIFS('Status of Curriculum Completion'!$DZ$4:$DZ$38,'Status of Curriculum Completion'!$DP$4:$DP$38,"Japan",'Status of Curriculum Completion'!$DT$4:$DT$38,"Planned")+SUMIFS('Status of Curriculum Completion'!$EM$4:$EM$38,'Status of Curriculum Completion'!$EC$4:$EC$38,"Japan",'Status of Curriculum Completion'!$EG$4:$EG$38,"Planned")+SUMIFS('Status of Curriculum Completion'!$EZ$4:$EZ$38,'Status of Curriculum Completion'!$EP$4:$EP$38,"Japan",'Status of Curriculum Completion'!$ET$4:$ET$38,"Planned")</f>
        <v>0</v>
      </c>
      <c r="AK15" s="62">
        <f>SUMIFS('Status of Curriculum Completion'!$DZ$4:$DZ$38,'Status of Curriculum Completion'!$DP$4:$DP$38,"Japan",'Status of Curriculum Completion'!$DT$4:$DT$38,"Tentative")+SUMIFS('Status of Curriculum Completion'!$EM$4:$EM$38,'Status of Curriculum Completion'!$EC$4:$EC$38,"Japan",'Status of Curriculum Completion'!$EG$4:$EG$38,"Tentative")+SUMIFS('Status of Curriculum Completion'!$EZ$4:$EZ$38,'Status of Curriculum Completion'!$EP$4:$EP$38,"Japan",'Status of Curriculum Completion'!$ET$4:$ET$38,"Tentative")</f>
        <v>0</v>
      </c>
      <c r="AL15" s="62">
        <f>SUMIFS('Status of Curriculum Completion'!$DZ$4:$DZ$38,'Status of Curriculum Completion'!$DP$4:$DP$38,"Japan",'Status of Curriculum Completion'!$DU$4:$DU$38,"Complete")+SUMIFS('Status of Curriculum Completion'!$EM$4:$EM$38,'Status of Curriculum Completion'!$EC$4:$EC$38,"Japan",'Status of Curriculum Completion'!$EH$4:$EH$38,"Complete")+SUMIFS('Status of Curriculum Completion'!$EZ$4:$EZ$38,'Status of Curriculum Completion'!$EP$4:$EP$38,"Japan",'Status of Curriculum Completion'!$EU$4:$EU$38,"Complete")</f>
        <v>20</v>
      </c>
      <c r="AM15" s="62">
        <f>SUMIFS('Status of Curriculum Completion'!$DZ$4:$DZ$38,'Status of Curriculum Completion'!$DP$4:$DP$38,"Japan",'Status of Curriculum Completion'!$DU$4:$DU$38,"In Progress")+SUMIFS('Status of Curriculum Completion'!$EM$4:$EM$38,'Status of Curriculum Completion'!$EC$4:$EC$38,"Japan",'Status of Curriculum Completion'!$EH$4:$EH$38,"In Progress")+SUMIFS('Status of Curriculum Completion'!$EZ$4:$EZ$38,'Status of Curriculum Completion'!$EP$4:$EP$38,"Japan",'Status of Curriculum Completion'!$EU$4:$EU$38,"In Progress")</f>
        <v>0</v>
      </c>
      <c r="AN15" s="62">
        <f>SUMIFS('Status of Curriculum Completion'!$DZ$4:$DZ$38,'Status of Curriculum Completion'!$DP$4:$DP$38,"Japan",'Status of Curriculum Completion'!$DU$4:$DU$38,"Planned")+SUMIFS('Status of Curriculum Completion'!$EM$4:$EM$38,'Status of Curriculum Completion'!$EC$4:$EC$38,"Japan",'Status of Curriculum Completion'!$EH$4:$EH$38,"Planned")+SUMIFS('Status of Curriculum Completion'!$EZ$4:$EZ$38,'Status of Curriculum Completion'!$EP$4:$EP$38,"Japan",'Status of Curriculum Completion'!$EU$4:$EU$38,"Planned")</f>
        <v>0</v>
      </c>
      <c r="AO15" s="62">
        <f>SUMIFS('Status of Curriculum Completion'!$DZ$4:$DZ$38,'Status of Curriculum Completion'!$DP$4:$DP$38,"Japan",'Status of Curriculum Completion'!$DU$4:$DU$38,"Tentative")+SUMIFS('Status of Curriculum Completion'!$EM$4:$EM$38,'Status of Curriculum Completion'!$EC$4:$EC$38,"Japan",'Status of Curriculum Completion'!$EH$4:$EH$38,"Tentative")+SUMIFS('Status of Curriculum Completion'!$EZ$4:$EZ$38,'Status of Curriculum Completion'!$EP$4:$EP$38,"Japan",'Status of Curriculum Completion'!$EU$4:$EU$38,"Tentative")</f>
        <v>0</v>
      </c>
      <c r="AP15" s="62">
        <f>SUMIFS('Status of Curriculum Completion'!$DZ$4:$DZ$38,'Status of Curriculum Completion'!$DP$4:$DP$38,"Japan",'Status of Curriculum Completion'!$DV$4:$DV$38,"Complete")+SUMIFS('Status of Curriculum Completion'!$EM$4:$EM$38,'Status of Curriculum Completion'!$EC$4:$EC$38,"Japan",'Status of Curriculum Completion'!$EI$4:$EI$38,"Complete")+SUMIFS('Status of Curriculum Completion'!$EZ$4:$EZ$38,'Status of Curriculum Completion'!$EP$4:$EP$38,"Japan",'Status of Curriculum Completion'!$EV$4:$EV$38,"Complete")</f>
        <v>0</v>
      </c>
      <c r="AQ15" s="62">
        <f>SUMIFS('Status of Curriculum Completion'!$DZ$4:$DZ$38,'Status of Curriculum Completion'!$DP$4:$DP$38,"Japan",'Status of Curriculum Completion'!$DV$4:$DV$38,"In Progress")+SUMIFS('Status of Curriculum Completion'!$EM$4:$EM$38,'Status of Curriculum Completion'!$EC$4:$EC$38,"Japan",'Status of Curriculum Completion'!$EI$4:$EI$38,"In Progress")+SUMIFS('Status of Curriculum Completion'!$EZ$4:$EZ$38,'Status of Curriculum Completion'!$EP$4:$EP$38,"Japan",'Status of Curriculum Completion'!$EV$4:$EV$38,"In Progress")</f>
        <v>0</v>
      </c>
      <c r="AR15" s="62">
        <f>SUMIFS('Status of Curriculum Completion'!$DZ$4:$DZ$38,'Status of Curriculum Completion'!$DP$4:$DP$38,"Japan",'Status of Curriculum Completion'!$DV$4:$DV$38,"Planned")+SUMIFS('Status of Curriculum Completion'!$EM$4:$EM$38,'Status of Curriculum Completion'!$EC$4:$EC$38,"Japan",'Status of Curriculum Completion'!$EI$4:$EI$38,"Planned")+SUMIFS('Status of Curriculum Completion'!$EZ$4:$EZ$38,'Status of Curriculum Completion'!$EP$4:$EP$38,"Japan",'Status of Curriculum Completion'!$EV$4:$EV$38,"Planned")</f>
        <v>20</v>
      </c>
      <c r="AS15" s="62">
        <f>SUMIFS('Status of Curriculum Completion'!$DZ$4:$DZ$38,'Status of Curriculum Completion'!$DP$4:$DP$38,"Japan",'Status of Curriculum Completion'!$DV$4:$DV$38,"Tentative")+SUMIFS('Status of Curriculum Completion'!$EM$4:$EM$38,'Status of Curriculum Completion'!$EC$4:$EC$38,"Japan",'Status of Curriculum Completion'!$EI$4:$EI$38,"Tentative")+SUMIFS('Status of Curriculum Completion'!$EZ$4:$EZ$38,'Status of Curriculum Completion'!$EP$4:$EP$38,"Japan",'Status of Curriculum Completion'!$EV$4:$EV$38,"Tentative")</f>
        <v>0</v>
      </c>
    </row>
    <row r="16" spans="1:45" ht="29.5" thickBot="1">
      <c r="A16" s="63" t="s">
        <v>1637</v>
      </c>
      <c r="B16" s="59">
        <f>SUMIFS('Status of Curriculum Completion'!M$4:M$38,'Status of Curriculum Completion'!C$4:C$38,"Geo MEA",'Status of Curriculum Completion'!G$4:G$38,"Complete")+SUMIFS('Status of Curriculum Completion'!Z$4:Z$38,'Status of Curriculum Completion'!P$4:P$38,"Geo MEA",'Status of Curriculum Completion'!T$4:T$38,"Complete")+SUMIFS('Status of Curriculum Completion'!AM$4:AM$38,'Status of Curriculum Completion'!AC$4:AC$38,"Geo MEA",'Status of Curriculum Completion'!AG$4:AG$38,"Complete")</f>
        <v>0</v>
      </c>
      <c r="C16" s="59">
        <f>SUMIFS('Status of Curriculum Completion'!$M$4:$M$38,'Status of Curriculum Completion'!$C$4:$C$38,"Geo MEA",'Status of Curriculum Completion'!$G$4:$G$38,"In progress")+SUMIFS('Status of Curriculum Completion'!$Z$4:$Z$38,'Status of Curriculum Completion'!$P$4:$P$38,"Geo MEA",'Status of Curriculum Completion'!$T$4:$T$38,"In progress")+SUMIFS('Status of Curriculum Completion'!$AM$4:$AM$38,'Status of Curriculum Completion'!$AC$4:$AC$38,"Geo MEA",'Status of Curriculum Completion'!$AG$4:$AG$38,"In progress")</f>
        <v>0</v>
      </c>
      <c r="D16" s="59">
        <f>SUMIFS('Status of Curriculum Completion'!$M$4:$M$38,'Status of Curriculum Completion'!$C$4:$C$38,"Geo MEA",'Status of Curriculum Completion'!$G$4:$G$38,"Planned")+SUMIFS('Status of Curriculum Completion'!$Z$4:$Z$38,'Status of Curriculum Completion'!$P$4:$P$38,"Geo MEA",'Status of Curriculum Completion'!$T$4:$T$38,"Planned")+SUMIFS('Status of Curriculum Completion'!$AM$4:$AM$38,'Status of Curriculum Completion'!$AC$4:$AC$38,"Geo MEA",'Status of Curriculum Completion'!$AG$4:$AG$38,"Planned")</f>
        <v>0</v>
      </c>
      <c r="E16" s="59">
        <f>SUMIFS('Status of Curriculum Completion'!$M$4:$M$38,'Status of Curriculum Completion'!$C$4:$C$38,"Geo MEA",'Status of Curriculum Completion'!$H$4:$H$38,"Complete")+SUMIFS('Status of Curriculum Completion'!$Z$4:$Z$38,'Status of Curriculum Completion'!$P$4:$P$38,"Geo MEA",'Status of Curriculum Completion'!$U$4:$U$38,"Complete")+SUMIFS('Status of Curriculum Completion'!$AM$4:$AM$38,'Status of Curriculum Completion'!$AC$4:$AC$38,"Geo MEA",'Status of Curriculum Completion'!$AH$4:$AH$38,"Complete")</f>
        <v>0</v>
      </c>
      <c r="F16" s="59">
        <f>SUMIFS('Status of Curriculum Completion'!$M$4:$M$38,'Status of Curriculum Completion'!$C$4:$C$38,"Geo MEA",'Status of Curriculum Completion'!$H$4:$H$38,"In Progress")+SUMIFS('Status of Curriculum Completion'!$Z$4:$Z$38,'Status of Curriculum Completion'!$P$4:$P$38,"Geo MEA",'Status of Curriculum Completion'!$U$4:$U$38,"In Progress")+SUMIFS('Status of Curriculum Completion'!$AM$4:$AM$38,'Status of Curriculum Completion'!$AC$4:$AC$38,"Geo MEA",'Status of Curriculum Completion'!$AH$4:$AH$38,"In Progress")</f>
        <v>0</v>
      </c>
      <c r="G16" s="59">
        <f>SUMIFS('Status of Curriculum Completion'!$M$4:$M$38,'Status of Curriculum Completion'!$C$4:$C$38,"Geo MEA",'Status of Curriculum Completion'!$H$4:$H$38,"Planned")+SUMIFS('Status of Curriculum Completion'!$Z$4:$Z$38,'Status of Curriculum Completion'!$P$4:$P$38,"Geo MEA",'Status of Curriculum Completion'!$U$4:$U$38,"Planned")+SUMIFS('Status of Curriculum Completion'!$AM$4:$AM$38,'Status of Curriculum Completion'!$AC$4:$AC$38,"Geo MEA",'Status of Curriculum Completion'!$AH$4:$AH$38,"Planned")</f>
        <v>0</v>
      </c>
      <c r="H16" s="59">
        <f>SUMIFS('Status of Curriculum Completion'!$M$4:$M$38,'Status of Curriculum Completion'!$C$4:$C$38,"Geo MEA",'Status of Curriculum Completion'!$I$4:$I$38,"Complete")+SUMIFS('Status of Curriculum Completion'!$Z$4:$Z$38,'Status of Curriculum Completion'!$P$4:$P$38,"Geo MEA",'Status of Curriculum Completion'!$V$4:$V$38,"Complete")+SUMIFS('Status of Curriculum Completion'!$AM$4:$AM$38,'Status of Curriculum Completion'!$AC$4:$AC$38,"Geo MEA",'Status of Curriculum Completion'!$AI$4:$AI$38,"Complete")</f>
        <v>0</v>
      </c>
      <c r="I16" s="59">
        <f>SUMIFS('Status of Curriculum Completion'!$M$4:$M$38,'Status of Curriculum Completion'!$C$4:$C$38,"Geo MEA",'Status of Curriculum Completion'!$I$4:$I$38,"In Progress")+SUMIFS('Status of Curriculum Completion'!$Z$4:$Z$38,'Status of Curriculum Completion'!$P$4:$P$38,"Geo MEA",'Status of Curriculum Completion'!$V$4:$V$38,"In Progress")+SUMIFS('Status of Curriculum Completion'!$AM$4:$AM$38,'Status of Curriculum Completion'!$AC$4:$AC$38,"Geo MEA",'Status of Curriculum Completion'!$AI$4:$AI$38,"In Progress")</f>
        <v>0</v>
      </c>
      <c r="J16" s="59">
        <f>SUMIFS('Status of Curriculum Completion'!$M$4:$M$38,'Status of Curriculum Completion'!$C$4:$C$38,"Geo MEA",'Status of Curriculum Completion'!$I$4:$I$38,"Planned")+SUMIFS('Status of Curriculum Completion'!$Z$4:$Z$38,'Status of Curriculum Completion'!$P$4:$P$38,"Geo MEA",'Status of Curriculum Completion'!$V$4:$V$38,"Planned")+SUMIFS('Status of Curriculum Completion'!$AM$4:$AM$38,'Status of Curriculum Completion'!$AC$4:$AC$38,"Geo MEA",'Status of Curriculum Completion'!$AI$4:$AI$38,"Planned")</f>
        <v>0</v>
      </c>
      <c r="K16" s="60">
        <f>SUMIFS('Status of Curriculum Completion'!$AZ$4:$AZ$38,'Status of Curriculum Completion'!$AP$4:$AP$38,"Geo MEA",'Status of Curriculum Completion'!$AT$4:$AT$38,"Complete")+SUMIFS('Status of Curriculum Completion'!$BM$4:$BM$38,'Status of Curriculum Completion'!$BC$4:$BC$38,"Geo MEA",'Status of Curriculum Completion'!$BG$4:$BG$38,"Complete")+SUMIFS('Status of Curriculum Completion'!$BZ$4:$BZ$38,'Status of Curriculum Completion'!$BP$4:$BP$38,"Geo MEA",'Status of Curriculum Completion'!$BT$4:$BT$38,"Complete")</f>
        <v>0</v>
      </c>
      <c r="L16" s="60">
        <f>SUMIFS('Status of Curriculum Completion'!$AZ$4:$AZ$38,'Status of Curriculum Completion'!$AP$4:$AP$38,"Geo MEA",'Status of Curriculum Completion'!$AT$4:$AT$38,"In Progress")+SUMIFS('Status of Curriculum Completion'!$BM$4:$BM$38,'Status of Curriculum Completion'!$BC$4:$BC$38,"Geo MEA",'Status of Curriculum Completion'!$BG$4:$BG$38,"In Progress")+SUMIFS('Status of Curriculum Completion'!$BZ$4:$BZ$38,'Status of Curriculum Completion'!$BP$4:$BP$38,"Geo MEA",'Status of Curriculum Completion'!$BT$4:$BT$38,"In Progress")</f>
        <v>0</v>
      </c>
      <c r="M16" s="60">
        <f>SUMIFS('Status of Curriculum Completion'!$AZ$4:$AZ$38,'Status of Curriculum Completion'!$AP$4:$AP$38,"Geo MEA",'Status of Curriculum Completion'!$AT$4:$AT$38,"Planned")+SUMIFS('Status of Curriculum Completion'!$BM$4:$BM$38,'Status of Curriculum Completion'!$BC$4:$BC$38,"Geo MEA",'Status of Curriculum Completion'!$BG$4:$BG$38,"Planned")+SUMIFS('Status of Curriculum Completion'!$BZ$4:$BZ$38,'Status of Curriculum Completion'!$BP$4:$BP$38,"Geo MEA",'Status of Curriculum Completion'!$BT$4:$BT$38,"Planned")</f>
        <v>0</v>
      </c>
      <c r="N16" s="60">
        <f>SUMIFS('Status of Curriculum Completion'!$AZ$4:$AZ$38,'Status of Curriculum Completion'!$AP$4:$AP$38,"Geo MEA",'Status of Curriculum Completion'!$AU$4:$AU$38,"Complete")+SUMIFS('Status of Curriculum Completion'!$BM$4:$BM$38,'Status of Curriculum Completion'!$BC$4:$BC$38,"Geo MEA",'Status of Curriculum Completion'!$BH$4:$BH$38,"Complete")+SUMIFS('Status of Curriculum Completion'!$BZ$4:$BZ$38,'Status of Curriculum Completion'!$BP$4:$BP$38,"Geo MEA",'Status of Curriculum Completion'!$BU$4:$BU$38,"Complete")</f>
        <v>0</v>
      </c>
      <c r="O16" s="60">
        <f>SUMIFS('Status of Curriculum Completion'!$AZ$4:$AZ$38,'Status of Curriculum Completion'!$AP$4:$AP$38,"Geo MEA",'Status of Curriculum Completion'!$AU$4:$AU$38,"In Progress")+SUMIFS('Status of Curriculum Completion'!$BM$4:$BM$38,'Status of Curriculum Completion'!$BC$4:$BC$38,"Geo MEA",'Status of Curriculum Completion'!$BH$4:$BH$38,"In Progress")+SUMIFS('Status of Curriculum Completion'!$BZ$4:$BZ$38,'Status of Curriculum Completion'!$BP$4:$BP$38,"Geo MEA",'Status of Curriculum Completion'!$BU$4:$BU$38,"In Progress")</f>
        <v>0</v>
      </c>
      <c r="P16" s="60">
        <f>SUMIFS('Status of Curriculum Completion'!$AZ$4:$AZ$38,'Status of Curriculum Completion'!$AP$4:$AP$38,"Geo MEA",'Status of Curriculum Completion'!$AU$4:$AU$38,"Planned")+SUMIFS('Status of Curriculum Completion'!$BM$4:$BM$38,'Status of Curriculum Completion'!$BC$4:$BC$38,"Geo MEA",'Status of Curriculum Completion'!$BH$4:$BH$38,"Planned")+SUMIFS('Status of Curriculum Completion'!$BZ$4:$BZ$38,'Status of Curriculum Completion'!$BP$4:$BP$38,"Geo MEA",'Status of Curriculum Completion'!$BU$4:$BU$38,"Planned")</f>
        <v>0</v>
      </c>
      <c r="Q16" s="60">
        <f>SUMIFS('Status of Curriculum Completion'!$AZ$4:$AZ$38,'Status of Curriculum Completion'!$AP$4:$AP$38,"Geo MEA",'Status of Curriculum Completion'!$AV$4:$AV$38,"Complete")+SUMIFS('Status of Curriculum Completion'!$BM$4:$BM$38,'Status of Curriculum Completion'!$BC$4:$BC$38,"Geo MEA",'Status of Curriculum Completion'!$BI$4:$BI$38,"Complete")+SUMIFS('Status of Curriculum Completion'!$BZ$4:$BZ$38,'Status of Curriculum Completion'!$BP$4:$BP$38,"Geo MEA",'Status of Curriculum Completion'!$BV$4:$BV$38,"Complete")</f>
        <v>0</v>
      </c>
      <c r="R16" s="60">
        <f>SUMIFS('Status of Curriculum Completion'!$AZ$4:$AZ$38,'Status of Curriculum Completion'!$AP$4:$AP$38,"Geo MEA",'Status of Curriculum Completion'!$AV$4:$AV$38,"In Progress")+SUMIFS('Status of Curriculum Completion'!$BM$4:$BM$38,'Status of Curriculum Completion'!$BC$4:$BC$38,"Geo MEA",'Status of Curriculum Completion'!$BI$4:$BI$38,"In Progress")+SUMIFS('Status of Curriculum Completion'!$BZ$4:$BZ$38,'Status of Curriculum Completion'!$BP$4:$BP$38,"Geo MEA",'Status of Curriculum Completion'!$BV$4:$BV$38,"In Progress")</f>
        <v>0</v>
      </c>
      <c r="S16" s="60">
        <f>SUMIFS('Status of Curriculum Completion'!$AZ$4:$AZ$38,'Status of Curriculum Completion'!$AP$4:$AP$38,"Geo MEA",'Status of Curriculum Completion'!$AV$4:$AV$38,"Planned")+SUMIFS('Status of Curriculum Completion'!$BM$4:$BM$38,'Status of Curriculum Completion'!$BC$4:$BC$38,"Geo MEA",'Status of Curriculum Completion'!$BI$4:$BI$38,"Planned")+SUMIFS('Status of Curriculum Completion'!$BZ$4:$BZ$38,'Status of Curriculum Completion'!$BP$4:$BP$38,"Geo MEA",'Status of Curriculum Completion'!$BV$4:$BV$38,"Planned")</f>
        <v>0</v>
      </c>
      <c r="U16" s="63" t="s">
        <v>1637</v>
      </c>
      <c r="V16" s="61">
        <f>SUMIFS('Status of Curriculum Completion'!$CM$4:$CM$38,'Status of Curriculum Completion'!$CC$4:$CC$38,"Geo MEA",'Status of Curriculum Completion'!$CG$4:$CG$38,"Complete")+SUMIFS('Status of Curriculum Completion'!$CZ$4:$CZ$38,'Status of Curriculum Completion'!$CP$4:$CP$38,"Geo MEA",'Status of Curriculum Completion'!$CT$4:$CT$38,"Complete")+SUMIFS('Status of Curriculum Completion'!$DM$4:$DM$38,'Status of Curriculum Completion'!$DC$4:$DC$38,"Geo MEA",'Status of Curriculum Completion'!$DG$4:$DG$38,"Complete")</f>
        <v>13</v>
      </c>
      <c r="W16" s="61">
        <f>SUMIFS('Status of Curriculum Completion'!$CM$4:$CM$38,'Status of Curriculum Completion'!$CC$4:$CC$38,"Geo MEA",'Status of Curriculum Completion'!$CG$4:$CG$38,"In Progress")+SUMIFS('Status of Curriculum Completion'!$CZ$4:$CZ$38,'Status of Curriculum Completion'!$CP$4:$CP$38,"Geo MEA",'Status of Curriculum Completion'!$CT$4:$CT$38,"In Progress")+SUMIFS('Status of Curriculum Completion'!$DM$4:$DM$38,'Status of Curriculum Completion'!$DC$4:$DC$38,"Geo MEA",'Status of Curriculum Completion'!$DG$4:$DG$38,"In Progress")</f>
        <v>0</v>
      </c>
      <c r="X16" s="61">
        <f>SUMIFS('Status of Curriculum Completion'!$CM$4:$CM$38,'Status of Curriculum Completion'!$CC$4:$CC$38,"Geo MEA",'Status of Curriculum Completion'!$CG$4:$CG$38,"Planned")+SUMIFS('Status of Curriculum Completion'!$CZ$4:$CZ$38,'Status of Curriculum Completion'!$CP$4:$CP$38,"Geo MEA",'Status of Curriculum Completion'!$CT$4:$CT$38,"Planned")+SUMIFS('Status of Curriculum Completion'!$DM$4:$DM$38,'Status of Curriculum Completion'!$DC$4:$DC$38,"Geo MEA",'Status of Curriculum Completion'!$DG$4:$DG$38,"Planned")</f>
        <v>0</v>
      </c>
      <c r="Y16" s="61">
        <f>SUMIFS('Status of Curriculum Completion'!$CM$4:$CM$38,'Status of Curriculum Completion'!$CC$4:$CC$38,"Geo MEA",'Status of Curriculum Completion'!$CG$4:$CG$38,"Tentative")+SUMIFS('Status of Curriculum Completion'!$CZ$4:$CZ$38,'Status of Curriculum Completion'!$CP$4:$CP$38,"Geo MEA",'Status of Curriculum Completion'!$CT$4:$CT$38,"Tentative")+SUMIFS('Status of Curriculum Completion'!$DM$4:$DM$38,'Status of Curriculum Completion'!$DC$4:$DC$38,"Geo MEA",'Status of Curriculum Completion'!$DG$4:$DG$38,"Tentative")</f>
        <v>0</v>
      </c>
      <c r="Z16" s="61">
        <f>SUMIFS('Status of Curriculum Completion'!$CM$4:$CM$38,'Status of Curriculum Completion'!$CC$4:$CC$38,"Geo MEA",'Status of Curriculum Completion'!$CH$4:$CH$38,"Complete")+SUMIFS('Status of Curriculum Completion'!$CZ$4:$CZ$38,'Status of Curriculum Completion'!$CP$4:$CP$38,"Geo MEA",'Status of Curriculum Completion'!$CU$4:$CU$38,"Complete")+SUMIFS('Status of Curriculum Completion'!$DM$4:$DM$38,'Status of Curriculum Completion'!$DC$4:$DC$38,"Geo MEA",'Status of Curriculum Completion'!$DH$4:$DH$38,"Complete")</f>
        <v>13</v>
      </c>
      <c r="AA16" s="61">
        <f>SUMIFS('Status of Curriculum Completion'!$CM$4:$CM$38,'Status of Curriculum Completion'!$CC$4:$CC$38,"Geo MEA",'Status of Curriculum Completion'!$CH$4:$CH$38,"In Progress")+SUMIFS('Status of Curriculum Completion'!$CZ$4:$CZ$38,'Status of Curriculum Completion'!$CP$4:$CP$38,"Geo MEA",'Status of Curriculum Completion'!$CU$4:$CU$38,"In Progress")+SUMIFS('Status of Curriculum Completion'!$DM$4:$DM$38,'Status of Curriculum Completion'!$DC$4:$DC$38,"Geo MEA",'Status of Curriculum Completion'!$DH$4:$DH$38,"In Progress")</f>
        <v>0</v>
      </c>
      <c r="AB16" s="61">
        <f>SUMIFS('Status of Curriculum Completion'!$CM$4:$CM$38,'Status of Curriculum Completion'!$CC$4:$CC$38,"Geo MEA",'Status of Curriculum Completion'!$CH$4:$CH$38,"Planned")+SUMIFS('Status of Curriculum Completion'!$CZ$4:$CZ$38,'Status of Curriculum Completion'!$CP$4:$CP$38,"Geo MEA",'Status of Curriculum Completion'!$CU$4:$CU$38,"Planned")+SUMIFS('Status of Curriculum Completion'!$DM$4:$DM$38,'Status of Curriculum Completion'!$DC$4:$DC$38,"Geo MEA",'Status of Curriculum Completion'!$DH$4:$DH$38,"Planned")</f>
        <v>0</v>
      </c>
      <c r="AC16" s="61">
        <f>SUMIFS('Status of Curriculum Completion'!$CM$4:$CM$38,'Status of Curriculum Completion'!$CC$4:$CC$38,"Geo MEA",'Status of Curriculum Completion'!$CH$4:$CH$38,"Tentative")+SUMIFS('Status of Curriculum Completion'!$CZ$4:$CZ$38,'Status of Curriculum Completion'!$CP$4:$CP$38,"Geo MEA",'Status of Curriculum Completion'!$CU$4:$CU$38,"Tentative")+SUMIFS('Status of Curriculum Completion'!$DM$4:$DM$38,'Status of Curriculum Completion'!$DC$4:$DC$38,"Geo MEA",'Status of Curriculum Completion'!$DH$4:$DH$38,"Tentative")</f>
        <v>0</v>
      </c>
      <c r="AD16" s="61">
        <f>SUMIFS('Status of Curriculum Completion'!$CM$4:$CM$38,'Status of Curriculum Completion'!$CC$4:$CC$38,"Geo MEA",'Status of Curriculum Completion'!$CI$4:$CI$38,"Complete")+SUMIFS('Status of Curriculum Completion'!$CZ$4:$CZ$38,'Status of Curriculum Completion'!$CP$4:$CP$38,"Geo MEA",'Status of Curriculum Completion'!$CV$4:$CV$38,"Complete")+SUMIFS('Status of Curriculum Completion'!$DM$4:$DM$38,'Status of Curriculum Completion'!$DC$4:$DC$38,"Geo MEA",'Status of Curriculum Completion'!$DI$4:$DI$38,"Complete")</f>
        <v>0</v>
      </c>
      <c r="AE16" s="61">
        <f>SUMIFS('Status of Curriculum Completion'!$CM$4:$CM$38,'Status of Curriculum Completion'!$CC$4:$CC$38,"Geo MEA",'Status of Curriculum Completion'!$CI$4:$CI$38,"In Progress")+SUMIFS('Status of Curriculum Completion'!$CZ$4:$CZ$38,'Status of Curriculum Completion'!$CP$4:$CP$38,"Geo MEA",'Status of Curriculum Completion'!$CV$4:$CV$38,"In Progress")+SUMIFS('Status of Curriculum Completion'!$DM$4:$DM$38,'Status of Curriculum Completion'!$DC$4:$DC$38,"Geo MEA",'Status of Curriculum Completion'!$DI$4:$DI$38,"In Progress")</f>
        <v>0</v>
      </c>
      <c r="AF16" s="61">
        <f>SUMIFS('Status of Curriculum Completion'!$CM$4:$CM$38,'Status of Curriculum Completion'!$CC$4:$CC$38,"Geo MEA",'Status of Curriculum Completion'!$CI$4:$CI$38,"Planned")+SUMIFS('Status of Curriculum Completion'!$CZ$4:$CZ$38,'Status of Curriculum Completion'!$CP$4:$CP$38,"Geo MEA",'Status of Curriculum Completion'!$CV$4:$CV$38,"Planned")+SUMIFS('Status of Curriculum Completion'!$DM$4:$DM$38,'Status of Curriculum Completion'!$DC$4:$DC$38,"Geo MEA",'Status of Curriculum Completion'!$DI$4:$DI$38,"Planned")</f>
        <v>0</v>
      </c>
      <c r="AG16" s="61">
        <f>SUMIFS('Status of Curriculum Completion'!$CM$4:$CM$38,'Status of Curriculum Completion'!$CC$4:$CC$38,"Geo MEA",'Status of Curriculum Completion'!$CI$4:$CI$38,"Tentative")+SUMIFS('Status of Curriculum Completion'!$CZ$4:$CZ$38,'Status of Curriculum Completion'!$CP$4:$CP$38,"Geo MEA",'Status of Curriculum Completion'!$CV$4:$CV$38,"Tentative")+SUMIFS('Status of Curriculum Completion'!$DM$4:$DM$38,'Status of Curriculum Completion'!$DC$4:$DC$38,"Geo MEA",'Status of Curriculum Completion'!$DI$4:$DI$38,"Tentative")</f>
        <v>13</v>
      </c>
      <c r="AH16" s="62">
        <f>SUMIFS('Status of Curriculum Completion'!$DZ$4:$DZ$38,'Status of Curriculum Completion'!$DP$4:$DP$38,"Geo MEA",'Status of Curriculum Completion'!$DT$4:$DT$38,"Complete")+SUMIFS('Status of Curriculum Completion'!$EM$4:$EM$38,'Status of Curriculum Completion'!$EC$4:$EC$38,"Geo MEA",'Status of Curriculum Completion'!$EG$4:$EG$38,"Complete")+SUMIFS('Status of Curriculum Completion'!$EZ$4:$EZ$38,'Status of Curriculum Completion'!$EP$4:$EP$38,"Geo MEA",'Status of Curriculum Completion'!$ET$4:$ET$38,"Complete")</f>
        <v>0</v>
      </c>
      <c r="AI16" s="62">
        <f>SUMIFS('Status of Curriculum Completion'!$DZ$4:$DZ$38,'Status of Curriculum Completion'!$DP$4:$DP$38,"Geo MEA",'Status of Curriculum Completion'!$DT$4:$DT$38,"In Progress")+SUMIFS('Status of Curriculum Completion'!$EM$4:$EM$38,'Status of Curriculum Completion'!$EC$4:$EC$38,"Geo MEA",'Status of Curriculum Completion'!$EG$4:$EG$38,"In Progress")+SUMIFS('Status of Curriculum Completion'!$EZ$4:$EZ$38,'Status of Curriculum Completion'!$EP$4:$EP$38,"Geo MEA",'Status of Curriculum Completion'!$ET$4:$ET$38,"In Progress")</f>
        <v>0</v>
      </c>
      <c r="AJ16" s="62">
        <f>SUMIFS('Status of Curriculum Completion'!$DZ$4:$DZ$38,'Status of Curriculum Completion'!$DP$4:$DP$38,"Geo MEA",'Status of Curriculum Completion'!$DT$4:$DT$38,"Planned")+SUMIFS('Status of Curriculum Completion'!$EM$4:$EM$38,'Status of Curriculum Completion'!$EC$4:$EC$38,"Geo MEA",'Status of Curriculum Completion'!$EG$4:$EG$38,"Planned")+SUMIFS('Status of Curriculum Completion'!$EZ$4:$EZ$38,'Status of Curriculum Completion'!$EP$4:$EP$38,"Geo MEA",'Status of Curriculum Completion'!$ET$4:$ET$38,"Planned")</f>
        <v>0</v>
      </c>
      <c r="AK16" s="62">
        <f>SUMIFS('Status of Curriculum Completion'!$DZ$4:$DZ$38,'Status of Curriculum Completion'!$DP$4:$DP$38,"Geo MEA",'Status of Curriculum Completion'!$DT$4:$DT$38,"Tentative")+SUMIFS('Status of Curriculum Completion'!$EM$4:$EM$38,'Status of Curriculum Completion'!$EC$4:$EC$38,"Geo MEA",'Status of Curriculum Completion'!$EG$4:$EG$38,"Tentative")+SUMIFS('Status of Curriculum Completion'!$EZ$4:$EZ$38,'Status of Curriculum Completion'!$EP$4:$EP$38,"Geo MEA",'Status of Curriculum Completion'!$ET$4:$ET$38,"Tentative")</f>
        <v>0</v>
      </c>
      <c r="AL16" s="62">
        <f>SUMIFS('Status of Curriculum Completion'!$DZ$4:$DZ$38,'Status of Curriculum Completion'!$DP$4:$DP$38,"Geo MEA",'Status of Curriculum Completion'!$DU$4:$DU$38,"Complete")+SUMIFS('Status of Curriculum Completion'!$EM$4:$EM$38,'Status of Curriculum Completion'!$EC$4:$EC$38,"Geo MEA",'Status of Curriculum Completion'!$EH$4:$EH$38,"Complete")+SUMIFS('Status of Curriculum Completion'!$EZ$4:$EZ$38,'Status of Curriculum Completion'!$EP$4:$EP$38,"Geo MEA",'Status of Curriculum Completion'!$EU$4:$EU$38,"Complete")</f>
        <v>0</v>
      </c>
      <c r="AM16" s="62">
        <f>SUMIFS('Status of Curriculum Completion'!$DZ$4:$DZ$38,'Status of Curriculum Completion'!$DP$4:$DP$38,"Geo MEA",'Status of Curriculum Completion'!$DU$4:$DU$38,"In Progress")+SUMIFS('Status of Curriculum Completion'!$EM$4:$EM$38,'Status of Curriculum Completion'!$EC$4:$EC$38,"Geo MEA",'Status of Curriculum Completion'!$EH$4:$EH$38,"In Progress")+SUMIFS('Status of Curriculum Completion'!$EZ$4:$EZ$38,'Status of Curriculum Completion'!$EP$4:$EP$38,"Geo MEA",'Status of Curriculum Completion'!$EU$4:$EU$38,"In Progress")</f>
        <v>0</v>
      </c>
      <c r="AN16" s="62">
        <f>SUMIFS('Status of Curriculum Completion'!$DZ$4:$DZ$38,'Status of Curriculum Completion'!$DP$4:$DP$38,"Geo MEA",'Status of Curriculum Completion'!$DU$4:$DU$38,"Planned")+SUMIFS('Status of Curriculum Completion'!$EM$4:$EM$38,'Status of Curriculum Completion'!$EC$4:$EC$38,"Geo MEA",'Status of Curriculum Completion'!$EH$4:$EH$38,"Planned")+SUMIFS('Status of Curriculum Completion'!$EZ$4:$EZ$38,'Status of Curriculum Completion'!$EP$4:$EP$38,"Geo MEA",'Status of Curriculum Completion'!$EU$4:$EU$38,"Planned")</f>
        <v>0</v>
      </c>
      <c r="AO16" s="62">
        <f>SUMIFS('Status of Curriculum Completion'!$DZ$4:$DZ$38,'Status of Curriculum Completion'!$DP$4:$DP$38,"Geo MEA",'Status of Curriculum Completion'!$DU$4:$DU$38,"Tentative")+SUMIFS('Status of Curriculum Completion'!$EM$4:$EM$38,'Status of Curriculum Completion'!$EC$4:$EC$38,"Geo MEA",'Status of Curriculum Completion'!$EH$4:$EH$38,"Tentative")+SUMIFS('Status of Curriculum Completion'!$EZ$4:$EZ$38,'Status of Curriculum Completion'!$EP$4:$EP$38,"Geo MEA",'Status of Curriculum Completion'!$EU$4:$EU$38,"Tentative")</f>
        <v>0</v>
      </c>
      <c r="AP16" s="62">
        <f>SUMIFS('Status of Curriculum Completion'!$DZ$4:$DZ$38,'Status of Curriculum Completion'!$DP$4:$DP$38,"Geo MEA",'Status of Curriculum Completion'!$DV$4:$DV$38,"Complete")+SUMIFS('Status of Curriculum Completion'!$EM$4:$EM$38,'Status of Curriculum Completion'!$EC$4:$EC$38,"Geo MEA",'Status of Curriculum Completion'!$EI$4:$EI$38,"Complete")+SUMIFS('Status of Curriculum Completion'!$EZ$4:$EZ$38,'Status of Curriculum Completion'!$EP$4:$EP$38,"Geo MEA",'Status of Curriculum Completion'!$EV$4:$EV$38,"Complete")</f>
        <v>0</v>
      </c>
      <c r="AQ16" s="62">
        <f>SUMIFS('Status of Curriculum Completion'!$DZ$4:$DZ$38,'Status of Curriculum Completion'!$DP$4:$DP$38,"Geo MEA",'Status of Curriculum Completion'!$DV$4:$DV$38,"In Progress")+SUMIFS('Status of Curriculum Completion'!$EM$4:$EM$38,'Status of Curriculum Completion'!$EC$4:$EC$38,"Geo MEA",'Status of Curriculum Completion'!$EI$4:$EI$38,"In Progress")+SUMIFS('Status of Curriculum Completion'!$EZ$4:$EZ$38,'Status of Curriculum Completion'!$EP$4:$EP$38,"Geo MEA",'Status of Curriculum Completion'!$EV$4:$EV$38,"In Progress")</f>
        <v>0</v>
      </c>
      <c r="AR16" s="62">
        <f>SUMIFS('Status of Curriculum Completion'!$DZ$4:$DZ$38,'Status of Curriculum Completion'!$DP$4:$DP$38,"Geo MEA",'Status of Curriculum Completion'!$DV$4:$DV$38,"Planned")+SUMIFS('Status of Curriculum Completion'!$EM$4:$EM$38,'Status of Curriculum Completion'!$EC$4:$EC$38,"Geo MEA",'Status of Curriculum Completion'!$EI$4:$EI$38,"Planned")+SUMIFS('Status of Curriculum Completion'!$EZ$4:$EZ$38,'Status of Curriculum Completion'!$EP$4:$EP$38,"Geo MEA",'Status of Curriculum Completion'!$EV$4:$EV$38,"Planned")</f>
        <v>0</v>
      </c>
      <c r="AS16" s="62">
        <f>SUMIFS('Status of Curriculum Completion'!$DZ$4:$DZ$38,'Status of Curriculum Completion'!$DP$4:$DP$38,"Geo MEA",'Status of Curriculum Completion'!$DV$4:$DV$38,"Tentative")+SUMIFS('Status of Curriculum Completion'!$EM$4:$EM$38,'Status of Curriculum Completion'!$EC$4:$EC$38,"Geo MEA",'Status of Curriculum Completion'!$EI$4:$EI$38,"Tentative")+SUMIFS('Status of Curriculum Completion'!$EZ$4:$EZ$38,'Status of Curriculum Completion'!$EP$4:$EP$38,"Geo MEA",'Status of Curriculum Completion'!$EV$4:$EV$38,"Tentative")</f>
        <v>0</v>
      </c>
    </row>
    <row r="17" spans="1:45" ht="29.5" thickBot="1">
      <c r="A17" s="63" t="s">
        <v>1638</v>
      </c>
      <c r="B17" s="59">
        <f>SUMIFS('Status of Curriculum Completion'!M$4:M$38,'Status of Curriculum Completion'!C$4:C$38,"Geo NA Canada",'Status of Curriculum Completion'!G$4:G$38,"Complete")+SUMIFS('Status of Curriculum Completion'!Z$4:Z$38,'Status of Curriculum Completion'!P$4:P$38,"Geo NA Canada",'Status of Curriculum Completion'!T$4:T$38,"Complete")+SUMIFS('Status of Curriculum Completion'!AM$4:AM$38,'Status of Curriculum Completion'!AC$4:AC$38,"Geo NA Canada",'Status of Curriculum Completion'!AG$4:AG$38,"Complete")</f>
        <v>0</v>
      </c>
      <c r="C17" s="59">
        <f>SUMIFS('Status of Curriculum Completion'!$M$4:$M$38,'Status of Curriculum Completion'!$C$4:$C$38,"Geo NA Canada",'Status of Curriculum Completion'!$G$4:$G$38,"In progress")+SUMIFS('Status of Curriculum Completion'!$Z$4:$Z$38,'Status of Curriculum Completion'!$P$4:$P$38,"Geo NA Canada",'Status of Curriculum Completion'!$T$4:$T$38,"In progress")+SUMIFS('Status of Curriculum Completion'!$AM$4:$AM$38,'Status of Curriculum Completion'!$AC$4:$AC$38,"Geo NA Canada",'Status of Curriculum Completion'!$AG$4:$AG$38,"In progress")</f>
        <v>47</v>
      </c>
      <c r="D17" s="59">
        <f>SUMIFS('Status of Curriculum Completion'!$M$4:$M$38,'Status of Curriculum Completion'!$C$4:$C$38,"Geo NA Canada",'Status of Curriculum Completion'!$G$4:$G$38,"Planned")+SUMIFS('Status of Curriculum Completion'!$Z$4:$Z$38,'Status of Curriculum Completion'!$P$4:$P$38,"Geo NA Canada",'Status of Curriculum Completion'!$T$4:$T$38,"Planned")+SUMIFS('Status of Curriculum Completion'!$AM$4:$AM$38,'Status of Curriculum Completion'!$AC$4:$AC$38,"Geo NA Canada",'Status of Curriculum Completion'!$AG$4:$AG$38,"Planned")</f>
        <v>0</v>
      </c>
      <c r="E17" s="59">
        <f>SUMIFS('Status of Curriculum Completion'!$M$4:$M$38,'Status of Curriculum Completion'!$C$4:$C$38,"Geo NA Canada",'Status of Curriculum Completion'!$H$4:$H$38,"Complete")+SUMIFS('Status of Curriculum Completion'!$Z$4:$Z$38,'Status of Curriculum Completion'!$P$4:$P$38,"Geo NA Canada",'Status of Curriculum Completion'!$U$4:$U$38,"Complete")+SUMIFS('Status of Curriculum Completion'!$AM$4:$AM$38,'Status of Curriculum Completion'!$AC$4:$AC$38,"Geo NA Canada",'Status of Curriculum Completion'!$AH$4:$AH$38,"Complete")</f>
        <v>0</v>
      </c>
      <c r="F17" s="59">
        <f>SUMIFS('Status of Curriculum Completion'!$M$4:$M$38,'Status of Curriculum Completion'!$C$4:$C$38,"Geo NA Canada",'Status of Curriculum Completion'!$H$4:$H$38,"In Progress")+SUMIFS('Status of Curriculum Completion'!$Z$4:$Z$38,'Status of Curriculum Completion'!$P$4:$P$38,"Geo NA Canada",'Status of Curriculum Completion'!$U$4:$U$38,"In Progress")+SUMIFS('Status of Curriculum Completion'!$AM$4:$AM$38,'Status of Curriculum Completion'!$AC$4:$AC$38,"Geo NA Canada",'Status of Curriculum Completion'!$AH$4:$AH$38,"In Progress")</f>
        <v>0</v>
      </c>
      <c r="G17" s="59">
        <f>SUMIFS('Status of Curriculum Completion'!$M$4:$M$38,'Status of Curriculum Completion'!$C$4:$C$38,"Geo NA Canada",'Status of Curriculum Completion'!$H$4:$H$38,"Planned")+SUMIFS('Status of Curriculum Completion'!$Z$4:$Z$38,'Status of Curriculum Completion'!$P$4:$P$38,"Geo NA Canada",'Status of Curriculum Completion'!$U$4:$U$38,"Planned")+SUMIFS('Status of Curriculum Completion'!$AM$4:$AM$38,'Status of Curriculum Completion'!$AC$4:$AC$38,"Geo NA Canada",'Status of Curriculum Completion'!$AH$4:$AH$38,"Planned")</f>
        <v>0</v>
      </c>
      <c r="H17" s="59">
        <f>SUMIFS('Status of Curriculum Completion'!$M$4:$M$38,'Status of Curriculum Completion'!$C$4:$C$38,"Geo NA Canada",'Status of Curriculum Completion'!$I$4:$I$38,"Complete")+SUMIFS('Status of Curriculum Completion'!$Z$4:$Z$38,'Status of Curriculum Completion'!$P$4:$P$38,"Geo NA Canada",'Status of Curriculum Completion'!$V$4:$V$38,"Complete")+SUMIFS('Status of Curriculum Completion'!$AM$4:$AM$38,'Status of Curriculum Completion'!$AC$4:$AC$38,"Geo NA Canada",'Status of Curriculum Completion'!$AI$4:$AI$38,"Complete")</f>
        <v>0</v>
      </c>
      <c r="I17" s="59">
        <f>SUMIFS('Status of Curriculum Completion'!$M$4:$M$38,'Status of Curriculum Completion'!$C$4:$C$38,"Geo NA Canada",'Status of Curriculum Completion'!$I$5:$I$39,"In Progress")+SUMIFS('Status of Curriculum Completion'!$Z$4:$Z$38,'Status of Curriculum Completion'!$P$4:$P$38,"Geo NA Canada",'Status of Curriculum Completion'!$V$5:$V$39,"In Progress")+SUMIFS('Status of Curriculum Completion'!$AM$4:$AM$38,'Status of Curriculum Completion'!$AC$4:$AC$38,"Geo NA Canada",'Status of Curriculum Completion'!$AI$4:$AI$38,"In Progress")</f>
        <v>0</v>
      </c>
      <c r="J17" s="59">
        <f>SUMIFS('Status of Curriculum Completion'!$M$4:$M$38,'Status of Curriculum Completion'!$C$4:$C$38,"Geo NA Canada",'Status of Curriculum Completion'!$I$5:$I$39,"Planned")+SUMIFS('Status of Curriculum Completion'!$Z$4:$Z$38,'Status of Curriculum Completion'!$P$4:$P$38,"Geo NA Canada",'Status of Curriculum Completion'!$V$5:$V$39,"Planned")+SUMIFS('Status of Curriculum Completion'!$AM$4:$AM$38,'Status of Curriculum Completion'!$AC$4:$AC$38,"Geo NA Canada",'Status of Curriculum Completion'!$AI$4:$AI$38,"Planned")</f>
        <v>0</v>
      </c>
      <c r="K17" s="60">
        <f>SUMIFS('Status of Curriculum Completion'!$AZ$4:$AZ$38,'Status of Curriculum Completion'!$AP$4:$AP$38,"Geo NA Canada",'Status of Curriculum Completion'!$AT$4:$AT$38,"Complete")+SUMIFS('Status of Curriculum Completion'!$BM$4:$BM$38,'Status of Curriculum Completion'!$BC$4:$BC$38,"Geo NA Canada",'Status of Curriculum Completion'!$BG$4:$BG$38,"Complete")+SUMIFS('Status of Curriculum Completion'!$BZ$4:$BZ$38,'Status of Curriculum Completion'!$BP$4:$BP$38,"Geo NA Canada",'Status of Curriculum Completion'!$BT$4:$BT$38,"Complete")</f>
        <v>0</v>
      </c>
      <c r="L17" s="60">
        <f>SUMIFS('Status of Curriculum Completion'!$AZ$4:$AZ$38,'Status of Curriculum Completion'!$AP$4:$AP$38,"Geo NA Canada",'Status of Curriculum Completion'!$AT$4:$AT$38,"In Progress")+SUMIFS('Status of Curriculum Completion'!$BM$4:$BM$38,'Status of Curriculum Completion'!$BC$4:$BC$38,"Geo NA Canada",'Status of Curriculum Completion'!$BG$4:$BG$38,"In Progress")+SUMIFS('Status of Curriculum Completion'!$BZ$4:$BZ$38,'Status of Curriculum Completion'!$BP$4:$BP$38,"Geo NA Canada",'Status of Curriculum Completion'!$BT$4:$BT$38,"In Progress")</f>
        <v>24</v>
      </c>
      <c r="M17" s="60">
        <f>SUMIFS('Status of Curriculum Completion'!$AZ$4:$AZ$38,'Status of Curriculum Completion'!$AP$4:$AP$38,"Geo NA Canada",'Status of Curriculum Completion'!$AT$4:$AT$38,"Planned")+SUMIFS('Status of Curriculum Completion'!$BM$4:$BM$38,'Status of Curriculum Completion'!$BC$4:$BC$38,"Geo NA Canada",'Status of Curriculum Completion'!$BG$4:$BG$38,"Planned")+SUMIFS('Status of Curriculum Completion'!$BZ$4:$BZ$38,'Status of Curriculum Completion'!$BP$4:$BP$38,"Geo NA Canada",'Status of Curriculum Completion'!$BT$4:$BT$38,"Planned")</f>
        <v>0</v>
      </c>
      <c r="N17" s="60">
        <f>SUMIFS('Status of Curriculum Completion'!$AZ$4:$AZ$38,'Status of Curriculum Completion'!$AP$4:$AP$38,"Geo NA Canada",'Status of Curriculum Completion'!$AU$4:$AU$38,"Complete")+SUMIFS('Status of Curriculum Completion'!$BM$4:$BM$38,'Status of Curriculum Completion'!$BC$4:$BC$38,"Geo NA Canada",'Status of Curriculum Completion'!$BH$4:$BH$38,"Complete")+SUMIFS('Status of Curriculum Completion'!$BZ$4:$BZ$38,'Status of Curriculum Completion'!$BP$4:$BP$38,"Geo NA Canada",'Status of Curriculum Completion'!$BU$4:$BU$38,"Complete")</f>
        <v>0</v>
      </c>
      <c r="O17" s="60">
        <f>SUMIFS('Status of Curriculum Completion'!$AZ$4:$AZ$38,'Status of Curriculum Completion'!$AP$4:$AP$38,"Geo NA Canada",'Status of Curriculum Completion'!$AU$4:$AU$38,"In Progress")+SUMIFS('Status of Curriculum Completion'!$BM$4:$BM$38,'Status of Curriculum Completion'!$BC$4:$BC$38,"Geo NA Canada",'Status of Curriculum Completion'!$BH$4:$BH$38,"In Progress")+SUMIFS('Status of Curriculum Completion'!$BZ$4:$BZ$38,'Status of Curriculum Completion'!$BP$4:$BP$38,"Geo NA Canada",'Status of Curriculum Completion'!$BU$4:$BU$38,"In Progress")</f>
        <v>0</v>
      </c>
      <c r="P17" s="60">
        <f>SUMIFS('Status of Curriculum Completion'!$AZ$4:$AZ$38,'Status of Curriculum Completion'!$AP$4:$AP$38,"Geo NA Canada",'Status of Curriculum Completion'!$AU$4:$AU$38,"Planned")+SUMIFS('Status of Curriculum Completion'!$BM$4:$BM$38,'Status of Curriculum Completion'!$BC$4:$BC$38,"Geo NA Canada",'Status of Curriculum Completion'!$BH$4:$BH$38,"Planned")+SUMIFS('Status of Curriculum Completion'!$BZ$4:$BZ$38,'Status of Curriculum Completion'!$BP$4:$BP$38,"Geo NA Canada",'Status of Curriculum Completion'!$BU$4:$BU$38,"Planned")</f>
        <v>0</v>
      </c>
      <c r="Q17" s="60">
        <f>SUMIFS('Status of Curriculum Completion'!$AZ$4:$AZ$38,'Status of Curriculum Completion'!$AP$4:$AP$38,"Geo NA Canada",'Status of Curriculum Completion'!$AV$4:$AV$38,"Complete")+SUMIFS('Status of Curriculum Completion'!$BM$4:$BM$38,'Status of Curriculum Completion'!$BC$4:$BC$38,"Geo NA Canada",'Status of Curriculum Completion'!$BI$4:$BI$38,"Complete")+SUMIFS('Status of Curriculum Completion'!$BZ$4:$BZ$38,'Status of Curriculum Completion'!$BP$4:$BP$38,"Geo NA Canada",'Status of Curriculum Completion'!$BV$4:$BV$38,"Complete")</f>
        <v>0</v>
      </c>
      <c r="R17" s="60">
        <f>SUMIFS('Status of Curriculum Completion'!$AZ$4:$AZ$38,'Status of Curriculum Completion'!$AP$4:$AP$38,"Geo NA Canada",'Status of Curriculum Completion'!$AV$4:$AV$38,"In Progress")+SUMIFS('Status of Curriculum Completion'!$BM$4:$BM$38,'Status of Curriculum Completion'!$BC$4:$BC$38,"Geo NA Canada",'Status of Curriculum Completion'!$BI$4:$BI$38,"In Progress")+SUMIFS('Status of Curriculum Completion'!$BZ$4:$BZ$38,'Status of Curriculum Completion'!$BP$4:$BP$38,"Geo NA Canada",'Status of Curriculum Completion'!$BV$4:$BV$38,"In Progress")</f>
        <v>0</v>
      </c>
      <c r="S17" s="60">
        <f>SUMIFS('Status of Curriculum Completion'!$AZ$4:$AZ$38,'Status of Curriculum Completion'!$AP$4:$AP$38,"Geo NA Canada",'Status of Curriculum Completion'!$AV$4:$AV$38,"Planned")+SUMIFS('Status of Curriculum Completion'!$BM$4:$BM$38,'Status of Curriculum Completion'!$BC$4:$BC$38,"Geo NA Canada",'Status of Curriculum Completion'!$BI$4:$BI$38,"Planned")+SUMIFS('Status of Curriculum Completion'!$BZ$4:$BZ$38,'Status of Curriculum Completion'!$BP$4:$BP$38,"Geo NA Canada",'Status of Curriculum Completion'!$BV$4:$BV$38,"Planned")</f>
        <v>0</v>
      </c>
      <c r="U17" s="63" t="s">
        <v>1638</v>
      </c>
      <c r="V17" s="61">
        <f>SUMIFS('Status of Curriculum Completion'!$CM$4:$CM$38,'Status of Curriculum Completion'!$CC$4:$CC$38,"Geo NA Canada",'Status of Curriculum Completion'!$CG$4:$CG$38,"Complete")+SUMIFS('Status of Curriculum Completion'!$CZ$4:$CZ$38,'Status of Curriculum Completion'!$CP$4:$CP$38,"Geo NA Canada",'Status of Curriculum Completion'!$CT$4:$CT$38,"Complete")+SUMIFS('Status of Curriculum Completion'!$DM$4:$DM$38,'Status of Curriculum Completion'!$DC$4:$DC$38,"Geo NA Canada",'Status of Curriculum Completion'!$DG$4:$DG$38,"Complete")</f>
        <v>0</v>
      </c>
      <c r="W17" s="61">
        <f>SUMIFS('Status of Curriculum Completion'!$CM$4:$CM$38,'Status of Curriculum Completion'!$CC$4:$CC$38,"Geo NA Canada",'Status of Curriculum Completion'!$CG$4:$CG$38,"In Progress")+SUMIFS('Status of Curriculum Completion'!$CZ$4:$CZ$38,'Status of Curriculum Completion'!$CP$4:$CP$38,"Geo NA Canada",'Status of Curriculum Completion'!$CT$4:$CT$38,"In Progress")+SUMIFS('Status of Curriculum Completion'!$DM$4:$DM$38,'Status of Curriculum Completion'!$DC$4:$DC$38,"Geo NA Canada",'Status of Curriculum Completion'!$DG$4:$DG$38,"In Progress")</f>
        <v>0</v>
      </c>
      <c r="X17" s="61">
        <f>SUMIFS('Status of Curriculum Completion'!$CM$4:$CM$38,'Status of Curriculum Completion'!$CC$4:$CC$38,"Geo NA Canada",'Status of Curriculum Completion'!$CG$4:$CG$38,"Planned")+SUMIFS('Status of Curriculum Completion'!$CZ$4:$CZ$38,'Status of Curriculum Completion'!$CP$4:$CP$38,"Geo NA Canada",'Status of Curriculum Completion'!$CT$4:$CT$38,"Planned")+SUMIFS('Status of Curriculum Completion'!$DM$4:$DM$38,'Status of Curriculum Completion'!$DC$4:$DC$38,"Geo NA Canada",'Status of Curriculum Completion'!$DG$4:$DG$38,"Planned")</f>
        <v>0</v>
      </c>
      <c r="Y17" s="61">
        <f>SUMIFS('Status of Curriculum Completion'!$CM$4:$CM$38,'Status of Curriculum Completion'!$CC$4:$CC$38,"Geo NA Canada",'Status of Curriculum Completion'!$CG$4:$CG$38,"Tentative")+SUMIFS('Status of Curriculum Completion'!$CZ$4:$CZ$38,'Status of Curriculum Completion'!$CP$4:$CP$38,"Geo NA Canada",'Status of Curriculum Completion'!$CT$4:$CT$38,"Tentative")+SUMIFS('Status of Curriculum Completion'!$DM$4:$DM$38,'Status of Curriculum Completion'!$DC$4:$DC$38,"Geo NA Canada",'Status of Curriculum Completion'!$DG$4:$DG$38,"Tentative")</f>
        <v>0</v>
      </c>
      <c r="Z17" s="61">
        <f>SUMIFS('Status of Curriculum Completion'!$CM$4:$CM$38,'Status of Curriculum Completion'!$CC$4:$CC$38,"Geo NA Canada",'Status of Curriculum Completion'!$CH$4:$CH$38,"Complete")+SUMIFS('Status of Curriculum Completion'!$CZ$4:$CZ$38,'Status of Curriculum Completion'!$CP$4:$CP$38,"Geo NA Canada",'Status of Curriculum Completion'!$CU$4:$CU$38,"Complete")+SUMIFS('Status of Curriculum Completion'!$DM$4:$DM$38,'Status of Curriculum Completion'!$DC$4:$DC$38,"Geo NA Canada",'Status of Curriculum Completion'!$DH$4:$DH$38,"Complete")</f>
        <v>0</v>
      </c>
      <c r="AA17" s="61">
        <f>SUMIFS('Status of Curriculum Completion'!$CM$4:$CM$38,'Status of Curriculum Completion'!$CC$4:$CC$38,"Geo NA Canada",'Status of Curriculum Completion'!$CH$4:$CH$38,"In Progress")+SUMIFS('Status of Curriculum Completion'!$CZ$4:$CZ$38,'Status of Curriculum Completion'!$CP$4:$CP$38,"Geo NA Canada",'Status of Curriculum Completion'!$CU$4:$CU$38,"In Progress")+SUMIFS('Status of Curriculum Completion'!$DM$4:$DM$38,'Status of Curriculum Completion'!$DC$4:$DC$38,"Geo NA Canada",'Status of Curriculum Completion'!$DH$4:$DH$38,"In Progress")</f>
        <v>0</v>
      </c>
      <c r="AB17" s="61">
        <f>SUMIFS('Status of Curriculum Completion'!$CM$4:$CM$38,'Status of Curriculum Completion'!$CC$4:$CC$38,"Geo NA Canada",'Status of Curriculum Completion'!$CH$4:$CH$38,"Planned")+SUMIFS('Status of Curriculum Completion'!$CZ$4:$CZ$38,'Status of Curriculum Completion'!$CP$4:$CP$38,"Geo NA Canada",'Status of Curriculum Completion'!$CU$4:$CU$38,"Planned")+SUMIFS('Status of Curriculum Completion'!$DM$4:$DM$38,'Status of Curriculum Completion'!$DC$4:$DC$38,"Geo NA Canada",'Status of Curriculum Completion'!$DH$4:$DH$38,"Planned")</f>
        <v>0</v>
      </c>
      <c r="AC17" s="61">
        <f>SUMIFS('Status of Curriculum Completion'!$CM$4:$CM$38,'Status of Curriculum Completion'!$CC$4:$CC$38,"Geo NA Canada",'Status of Curriculum Completion'!$CH$4:$CH$38,"Tentative")+SUMIFS('Status of Curriculum Completion'!$CZ$4:$CZ$38,'Status of Curriculum Completion'!$CP$4:$CP$38,"Geo NA Canada",'Status of Curriculum Completion'!$CU$4:$CU$38,"Tentative")+SUMIFS('Status of Curriculum Completion'!$DM$4:$DM$38,'Status of Curriculum Completion'!$DC$4:$DC$38,"Geo NA Canada",'Status of Curriculum Completion'!$DH$4:$DH$38,"Tentative")</f>
        <v>0</v>
      </c>
      <c r="AD17" s="61">
        <f>SUMIFS('Status of Curriculum Completion'!$CM$4:$CM$38,'Status of Curriculum Completion'!$CC$4:$CC$38,"Geo NA Canada",'Status of Curriculum Completion'!$CI$4:$CI$38,"Complete")+SUMIFS('Status of Curriculum Completion'!$CZ$4:$CZ$38,'Status of Curriculum Completion'!$CP$4:$CP$38,"Geo NA Canada",'Status of Curriculum Completion'!$CV$4:$CV$38,"Complete")+SUMIFS('Status of Curriculum Completion'!$DM$4:$DM$38,'Status of Curriculum Completion'!$DC$4:$DC$38,"Geo NA Canada",'Status of Curriculum Completion'!$DI$4:$DI$38,"Complete")</f>
        <v>0</v>
      </c>
      <c r="AE17" s="61">
        <f>SUMIFS('Status of Curriculum Completion'!$CM$4:$CM$38,'Status of Curriculum Completion'!$CC$4:$CC$38,"Geo NA Canada",'Status of Curriculum Completion'!$CI$4:$CI$38,"In Progress")+SUMIFS('Status of Curriculum Completion'!$CZ$4:$CZ$38,'Status of Curriculum Completion'!$CP$4:$CP$38,"Geo NA Canada",'Status of Curriculum Completion'!$CV$4:$CV$38,"In Progress")+SUMIFS('Status of Curriculum Completion'!$DM$4:$DM$38,'Status of Curriculum Completion'!$DC$4:$DC$38,"Geo NA Canada",'Status of Curriculum Completion'!$DI$4:$DI$38,"In Progress")</f>
        <v>0</v>
      </c>
      <c r="AF17" s="61">
        <f>SUMIFS('Status of Curriculum Completion'!$CM$4:$CM$38,'Status of Curriculum Completion'!$CC$4:$CC$38,"Geo NA Canada",'Status of Curriculum Completion'!$CI$4:$CI$38,"Planned")+SUMIFS('Status of Curriculum Completion'!$CZ$4:$CZ$38,'Status of Curriculum Completion'!$CP$4:$CP$38,"Geo NA Canada",'Status of Curriculum Completion'!$CV$4:$CV$38,"Planned")+SUMIFS('Status of Curriculum Completion'!$DM$4:$DM$38,'Status of Curriculum Completion'!$DC$4:$DC$38,"Geo NA Canada",'Status of Curriculum Completion'!$DI$4:$DI$38,"Planned")</f>
        <v>0</v>
      </c>
      <c r="AG17" s="61">
        <f>SUMIFS('Status of Curriculum Completion'!$CM$4:$CM$38,'Status of Curriculum Completion'!$CC$4:$CC$38,"Geo NA Canada",'Status of Curriculum Completion'!$CI$4:$CI$38,"Tentative")+SUMIFS('Status of Curriculum Completion'!$CZ$4:$CZ$38,'Status of Curriculum Completion'!$CP$4:$CP$38,"Geo NA Canada",'Status of Curriculum Completion'!$CV$4:$CV$38,"Tentative")+SUMIFS('Status of Curriculum Completion'!$DM$4:$DM$38,'Status of Curriculum Completion'!$DC$4:$DC$38,"Geo NA Canada",'Status of Curriculum Completion'!$DI$4:$DI$38,"Tentative")</f>
        <v>0</v>
      </c>
      <c r="AH17" s="62">
        <f>SUMIFS('Status of Curriculum Completion'!$DZ$4:$DZ$38,'Status of Curriculum Completion'!$DP$4:$DP$38,"Geo NA Canada",'Status of Curriculum Completion'!$DT$4:$DT$38,"Complete")+SUMIFS('Status of Curriculum Completion'!$EM$4:$EM$38,'Status of Curriculum Completion'!$EC$4:$EC$38,"Geo NA Canada",'Status of Curriculum Completion'!$EG$4:$EG$38,"Complete")+SUMIFS('Status of Curriculum Completion'!$EZ$4:$EZ$38,'Status of Curriculum Completion'!$EP$4:$EP$38,"Geo NA Canada",'Status of Curriculum Completion'!$ET$4:$ET$38,"Complete")</f>
        <v>0</v>
      </c>
      <c r="AI17" s="62">
        <f>SUMIFS('Status of Curriculum Completion'!$DZ$4:$DZ$38,'Status of Curriculum Completion'!$DP$4:$DP$38,"Geo NA Canada",'Status of Curriculum Completion'!$DT$4:$DT$38,"In Progress")+SUMIFS('Status of Curriculum Completion'!$EM$4:$EM$38,'Status of Curriculum Completion'!$EC$4:$EC$38,"Geo NA Canada",'Status of Curriculum Completion'!$EG$4:$EG$38,"In Progress")+SUMIFS('Status of Curriculum Completion'!$EZ$4:$EZ$38,'Status of Curriculum Completion'!$EP$4:$EP$38,"Geo NA Canada",'Status of Curriculum Completion'!$ET$4:$ET$38,"In Progress")</f>
        <v>25</v>
      </c>
      <c r="AJ17" s="62">
        <f>SUMIFS('Status of Curriculum Completion'!$DZ$4:$DZ$38,'Status of Curriculum Completion'!$DP$4:$DP$38,"Geo NA Canada",'Status of Curriculum Completion'!$DT$4:$DT$38,"Planned")+SUMIFS('Status of Curriculum Completion'!$EM$4:$EM$38,'Status of Curriculum Completion'!$EC$4:$EC$38,"Geo NA Canada",'Status of Curriculum Completion'!$EG$4:$EG$38,"Planned")+SUMIFS('Status of Curriculum Completion'!$EZ$4:$EZ$38,'Status of Curriculum Completion'!$EP$4:$EP$38,"Geo NA Canada",'Status of Curriculum Completion'!$ET$4:$ET$38,"Planned")</f>
        <v>0</v>
      </c>
      <c r="AK17" s="62">
        <f>SUMIFS('Status of Curriculum Completion'!$DZ$4:$DZ$38,'Status of Curriculum Completion'!$DP$4:$DP$38,"Geo NA Canada",'Status of Curriculum Completion'!$DT$4:$DT$38,"Tentative")+SUMIFS('Status of Curriculum Completion'!$EM$4:$EM$38,'Status of Curriculum Completion'!$EC$4:$EC$38,"Geo NA Canada",'Status of Curriculum Completion'!$EG$4:$EG$38,"Tentative")+SUMIFS('Status of Curriculum Completion'!$EZ$4:$EZ$38,'Status of Curriculum Completion'!$EP$4:$EP$38,"Geo NA Canada",'Status of Curriculum Completion'!$ET$4:$ET$38,"Tentative")</f>
        <v>0</v>
      </c>
      <c r="AL17" s="62">
        <f>SUMIFS('Status of Curriculum Completion'!$DZ$4:$DZ$38,'Status of Curriculum Completion'!$DP$4:$DP$38,"Geo NA Canada",'Status of Curriculum Completion'!$DU$4:$DU$38,"Complete")+SUMIFS('Status of Curriculum Completion'!$EM$4:$EM$38,'Status of Curriculum Completion'!$EC$4:$EC$38,"Geo NA Canada",'Status of Curriculum Completion'!$EH$4:$EH$38,"Complete")+SUMIFS('Status of Curriculum Completion'!$EZ$4:$EZ$38,'Status of Curriculum Completion'!$EP$4:$EP$38,"Geo NA Canada",'Status of Curriculum Completion'!$EU$4:$EU$38,"Complete")</f>
        <v>0</v>
      </c>
      <c r="AM17" s="62">
        <f>SUMIFS('Status of Curriculum Completion'!$DZ$4:$DZ$38,'Status of Curriculum Completion'!$DP$4:$DP$38,"Geo NA Canada",'Status of Curriculum Completion'!$DU$4:$DU$38,"In Progress")+SUMIFS('Status of Curriculum Completion'!$EM$4:$EM$38,'Status of Curriculum Completion'!$EC$4:$EC$38,"Geo NA Canada",'Status of Curriculum Completion'!$EH$4:$EH$38,"In Progress")+SUMIFS('Status of Curriculum Completion'!$EZ$4:$EZ$38,'Status of Curriculum Completion'!$EP$4:$EP$38,"Geo NA Canada",'Status of Curriculum Completion'!$EU$4:$EU$38,"In Progress")</f>
        <v>0</v>
      </c>
      <c r="AN17" s="62">
        <f>SUMIFS('Status of Curriculum Completion'!$DZ$4:$DZ$38,'Status of Curriculum Completion'!$DP$4:$DP$38,"Geo NA Canada",'Status of Curriculum Completion'!$DU$4:$DU$38,"Planned")+SUMIFS('Status of Curriculum Completion'!$EM$4:$EM$38,'Status of Curriculum Completion'!$EC$4:$EC$38,"Geo NA Canada",'Status of Curriculum Completion'!$EH$4:$EH$38,"Planned")+SUMIFS('Status of Curriculum Completion'!$EZ$4:$EZ$38,'Status of Curriculum Completion'!$EP$4:$EP$38,"Geo NA Canada",'Status of Curriculum Completion'!$EU$4:$EU$38,"Planned")</f>
        <v>0</v>
      </c>
      <c r="AO17" s="62">
        <f>SUMIFS('Status of Curriculum Completion'!$DZ$4:$DZ$38,'Status of Curriculum Completion'!$DP$4:$DP$38,"Geo NA Canada",'Status of Curriculum Completion'!$DU$4:$DU$38,"Tentative")+SUMIFS('Status of Curriculum Completion'!$EM$4:$EM$38,'Status of Curriculum Completion'!$EC$4:$EC$38,"Geo NA Canada",'Status of Curriculum Completion'!$EH$4:$EH$38,"Tentative")+SUMIFS('Status of Curriculum Completion'!$EZ$4:$EZ$38,'Status of Curriculum Completion'!$EP$4:$EP$38,"Geo NA Canada",'Status of Curriculum Completion'!$EU$4:$EU$38,"Tentative")</f>
        <v>0</v>
      </c>
      <c r="AP17" s="62">
        <f>SUMIFS('Status of Curriculum Completion'!$DZ$4:$DZ$38,'Status of Curriculum Completion'!$DP$4:$DP$38,"Geo NA Canada",'Status of Curriculum Completion'!$DV$4:$DV$38,"Complete")+SUMIFS('Status of Curriculum Completion'!$EM$4:$EM$38,'Status of Curriculum Completion'!$EC$4:$EC$38,"Geo NA Canada",'Status of Curriculum Completion'!$EI$4:$EI$38,"Complete")+SUMIFS('Status of Curriculum Completion'!$EZ$4:$EZ$38,'Status of Curriculum Completion'!$EP$4:$EP$38,"Geo NA Canada",'Status of Curriculum Completion'!$EV$4:$EV$38,"Complete")</f>
        <v>0</v>
      </c>
      <c r="AQ17" s="62">
        <f>SUMIFS('Status of Curriculum Completion'!$DZ$4:$DZ$38,'Status of Curriculum Completion'!$DP$4:$DP$38,"Geo NA Canada",'Status of Curriculum Completion'!$DV$4:$DV$38,"In Progress")+SUMIFS('Status of Curriculum Completion'!$EM$4:$EM$38,'Status of Curriculum Completion'!$EC$4:$EC$38,"Geo NA Canada",'Status of Curriculum Completion'!$EI$4:$EI$38,"In Progress")+SUMIFS('Status of Curriculum Completion'!$EZ$4:$EZ$38,'Status of Curriculum Completion'!$EP$4:$EP$38,"Geo NA Canada",'Status of Curriculum Completion'!$EV$4:$EV$38,"In Progress")</f>
        <v>0</v>
      </c>
      <c r="AR17" s="62">
        <f>SUMIFS('Status of Curriculum Completion'!$DZ$4:$DZ$38,'Status of Curriculum Completion'!$DP$4:$DP$38,"Geo NA Canada",'Status of Curriculum Completion'!$DV$4:$DV$38,"Planned")+SUMIFS('Status of Curriculum Completion'!$EM$4:$EM$38,'Status of Curriculum Completion'!$EC$4:$EC$38,"Geo NA Canada",'Status of Curriculum Completion'!$EI$4:$EI$38,"Planned")+SUMIFS('Status of Curriculum Completion'!$EZ$4:$EZ$38,'Status of Curriculum Completion'!$EP$4:$EP$38,"Geo NA Canada",'Status of Curriculum Completion'!$EV$4:$EV$38,"Planned")</f>
        <v>0</v>
      </c>
      <c r="AS17" s="62">
        <f>SUMIFS('Status of Curriculum Completion'!$DZ$4:$DZ$38,'Status of Curriculum Completion'!$DP$4:$DP$38,"Geo NA Canada",'Status of Curriculum Completion'!$DV$4:$DV$38,"Tentative")+SUMIFS('Status of Curriculum Completion'!$EM$4:$EM$38,'Status of Curriculum Completion'!$EC$4:$EC$38,"Geo NA Canada",'Status of Curriculum Completion'!$EI$4:$EI$38,"Tentative")+SUMIFS('Status of Curriculum Completion'!$EZ$4:$EZ$38,'Status of Curriculum Completion'!$EP$4:$EP$38,"Geo NA Canada",'Status of Curriculum Completion'!$EV$4:$EV$38,"Tentative")</f>
        <v>0</v>
      </c>
    </row>
    <row r="18" spans="1:45" ht="29.5" thickBot="1">
      <c r="A18" s="63" t="s">
        <v>1639</v>
      </c>
      <c r="B18" s="59">
        <f>SUMIFS('Status of Curriculum Completion'!M$4:M$38,'Status of Curriculum Completion'!C$4:C$38,"Geo NA US",'Status of Curriculum Completion'!G$4:G$38,"Complete")+SUMIFS('Status of Curriculum Completion'!Z$4:Z$38,'Status of Curriculum Completion'!P$4:P$38,"Geo NA US",'Status of Curriculum Completion'!T$4:T$38,"Complete")+SUMIFS('Status of Curriculum Completion'!AM$4:AM$38,'Status of Curriculum Completion'!AC$4:AC$38,"Geo NA US",'Status of Curriculum Completion'!AG$4:AG$38,"Complete")</f>
        <v>18</v>
      </c>
      <c r="C18" s="59">
        <f>SUMIFS('Status of Curriculum Completion'!$M$4:$M$38,'Status of Curriculum Completion'!$C$4:$C$38,"Geo NA US",'Status of Curriculum Completion'!$G$4:$G$38,"In progress")+SUMIFS('Status of Curriculum Completion'!$Z$4:$Z$38,'Status of Curriculum Completion'!$P$4:$P$38,"Geo NA US",'Status of Curriculum Completion'!$T$4:$T$38,"In progress")+SUMIFS('Status of Curriculum Completion'!$AM$4:$AM$38,'Status of Curriculum Completion'!$AC$4:$AC$38,"Geo NA US",'Status of Curriculum Completion'!$AG$4:$AG$38,"In progress")</f>
        <v>0</v>
      </c>
      <c r="D18" s="59">
        <f>SUMIFS('Status of Curriculum Completion'!$M$4:$M$38,'Status of Curriculum Completion'!$C$4:$C$38,"Geo NA US",'Status of Curriculum Completion'!$G$4:$G$38,"Planned")+SUMIFS('Status of Curriculum Completion'!$Z$4:$Z$38,'Status of Curriculum Completion'!$P$4:$P$38,"Geo NA US",'Status of Curriculum Completion'!$T$4:$T$38,"Planned")+SUMIFS('Status of Curriculum Completion'!$AM$4:$AM$38,'Status of Curriculum Completion'!$AC$4:$AC$38,"Geo NA US",'Status of Curriculum Completion'!$AG$4:$AG$38,"Planned")</f>
        <v>0</v>
      </c>
      <c r="E18" s="59">
        <f>SUMIFS('Status of Curriculum Completion'!$M$4:$M$38,'Status of Curriculum Completion'!$C$4:$C$38,"Geo NA US",'Status of Curriculum Completion'!$H$4:$H$38,"Complete")+SUMIFS('Status of Curriculum Completion'!$Z$4:$Z$38,'Status of Curriculum Completion'!$P$4:$P$38,"Geo NA US",'Status of Curriculum Completion'!$U$4:$U$38,"Complete")+SUMIFS('Status of Curriculum Completion'!$AM$4:$AM$38,'Status of Curriculum Completion'!$AC$4:$AC$38,"Geo NA US",'Status of Curriculum Completion'!$AH$4:$AH$38,"Complete")</f>
        <v>18</v>
      </c>
      <c r="F18" s="59">
        <f>SUMIFS('Status of Curriculum Completion'!$M$4:$M$38,'Status of Curriculum Completion'!$C$4:$C$38,"Geo NA US",'Status of Curriculum Completion'!$H$4:$H$38,"In Progress")+SUMIFS('Status of Curriculum Completion'!$Z$4:$Z$38,'Status of Curriculum Completion'!$P$4:$P$38,"Geo NA US",'Status of Curriculum Completion'!$U$4:$U$38,"In Progress")+SUMIFS('Status of Curriculum Completion'!$AM$4:$AM$38,'Status of Curriculum Completion'!$AC$4:$AC$38,"Geo NA US",'Status of Curriculum Completion'!$AH$4:$AH$38,"In Progress")</f>
        <v>0</v>
      </c>
      <c r="G18" s="59">
        <f>SUMIFS('Status of Curriculum Completion'!$M$4:$M$38,'Status of Curriculum Completion'!$C$4:$C$38,"Geo NA US",'Status of Curriculum Completion'!$H$4:$H$38,"Planned")+SUMIFS('Status of Curriculum Completion'!$Z$4:$Z$38,'Status of Curriculum Completion'!$P$4:$P$38,"Geo NA US",'Status of Curriculum Completion'!$U$4:$U$38,"Planned")+SUMIFS('Status of Curriculum Completion'!$AM$4:$AM$38,'Status of Curriculum Completion'!$AC$4:$AC$38,"Geo NA US",'Status of Curriculum Completion'!$AH$4:$AH$38,"Planned")</f>
        <v>0</v>
      </c>
      <c r="H18" s="59">
        <f>SUMIFS('Status of Curriculum Completion'!$M$4:$M$38,'Status of Curriculum Completion'!$C$4:$C$38,"Geo NA US",'Status of Curriculum Completion'!$I$4:$I$38,"Complete")+SUMIFS('Status of Curriculum Completion'!$Z$4:$Z$38,'Status of Curriculum Completion'!$P$4:$P$38,"Geo NA US",'Status of Curriculum Completion'!$V$4:$V$38,"Complete")+SUMIFS('Status of Curriculum Completion'!$AM$4:$AM$38,'Status of Curriculum Completion'!$AC$4:$AC$38,"Geo NA US",'Status of Curriculum Completion'!$AI$4:$AI$38,"Complete")</f>
        <v>18</v>
      </c>
      <c r="I18" s="59">
        <f>SUMIFS('Status of Curriculum Completion'!$M$4:$M$38,'Status of Curriculum Completion'!$C$4:$C$38,"Geo NA US",'Status of Curriculum Completion'!$I$4:$I$38,"In Progress")+SUMIFS('Status of Curriculum Completion'!$Z$4:$Z$38,'Status of Curriculum Completion'!$P$4:$P$38,"Geo NA US",'Status of Curriculum Completion'!$V$4:$V$38,"In Progress")+SUMIFS('Status of Curriculum Completion'!$AM$4:$AM$38,'Status of Curriculum Completion'!$AC$4:$AC$38,"Geo NA US",'Status of Curriculum Completion'!$AI$4:$AI$38,"In Progress")</f>
        <v>0</v>
      </c>
      <c r="J18" s="59">
        <f>SUMIFS('Status of Curriculum Completion'!$M$4:$M$38,'Status of Curriculum Completion'!$C$4:$C$38,"Geo NA US",'Status of Curriculum Completion'!$I$4:$I$38,"Planned")+SUMIFS('Status of Curriculum Completion'!$Z$4:$Z$38,'Status of Curriculum Completion'!$P$4:$P$38,"Geo NA US",'Status of Curriculum Completion'!$V$4:$V$38,"Planned")+SUMIFS('Status of Curriculum Completion'!$AM$4:$AM$38,'Status of Curriculum Completion'!$AC$4:$AC$38,"Geo NA US",'Status of Curriculum Completion'!$AI$4:$AI$38,"Planned")</f>
        <v>0</v>
      </c>
      <c r="K18" s="60">
        <f>SUMIFS('Status of Curriculum Completion'!$AZ$4:$AZ$38,'Status of Curriculum Completion'!$AP$4:$AP$38,"Geo NA US",'Status of Curriculum Completion'!$AT$4:$AT$38,"Complete")+SUMIFS('Status of Curriculum Completion'!$BM$4:$BM$38,'Status of Curriculum Completion'!$BC$4:$BC$38,"Geo NA US",'Status of Curriculum Completion'!$BG$4:$BG$38,"Complete")+SUMIFS('Status of Curriculum Completion'!$BZ$4:$BZ$38,'Status of Curriculum Completion'!$BP$4:$BP$38,"Geo NA US",'Status of Curriculum Completion'!$BT$4:$BT$38,"Complete")</f>
        <v>10</v>
      </c>
      <c r="L18" s="60">
        <f>SUMIFS('Status of Curriculum Completion'!$AZ$4:$AZ$38,'Status of Curriculum Completion'!$AP$4:$AP$38,"Geo NA US",'Status of Curriculum Completion'!$AT$4:$AT$38,"In Progress")+SUMIFS('Status of Curriculum Completion'!$BM$4:$BM$38,'Status of Curriculum Completion'!$BC$4:$BC$38,"Geo NA US",'Status of Curriculum Completion'!$BG$4:$BG$38,"In Progress")+SUMIFS('Status of Curriculum Completion'!$BZ$4:$BZ$38,'Status of Curriculum Completion'!$BP$4:$BP$38,"Geo NA US",'Status of Curriculum Completion'!$BT$4:$BT$38,"In Progress")</f>
        <v>0</v>
      </c>
      <c r="M18" s="60">
        <f>SUMIFS('Status of Curriculum Completion'!$AZ$4:$AZ$38,'Status of Curriculum Completion'!$AP$4:$AP$38,"Geo NA US",'Status of Curriculum Completion'!$AT$4:$AT$38,"Planned")+SUMIFS('Status of Curriculum Completion'!$BM$4:$BM$38,'Status of Curriculum Completion'!$BC$4:$BC$38,"Geo NA US",'Status of Curriculum Completion'!$BG$4:$BG$38,"Planned")+SUMIFS('Status of Curriculum Completion'!$BZ$4:$BZ$38,'Status of Curriculum Completion'!$BP$4:$BP$38,"Geo NA US",'Status of Curriculum Completion'!$BT$4:$BT$38,"Planned")</f>
        <v>0</v>
      </c>
      <c r="N18" s="60">
        <f>SUMIFS('Status of Curriculum Completion'!$AZ$4:$AZ$38,'Status of Curriculum Completion'!$AP$4:$AP$38,"Geo NA US",'Status of Curriculum Completion'!$AU$4:$AU$38,"Complete")+SUMIFS('Status of Curriculum Completion'!$BM$4:$BM$38,'Status of Curriculum Completion'!$BC$4:$BC$38,"Geo NA US",'Status of Curriculum Completion'!$BH$4:$BH$38,"Complete")+SUMIFS('Status of Curriculum Completion'!$BZ$4:$BZ$38,'Status of Curriculum Completion'!$BP$4:$BP$38,"Geo NA US",'Status of Curriculum Completion'!$BU$4:$BU$38,"Complete")</f>
        <v>10</v>
      </c>
      <c r="O18" s="60">
        <f>SUMIFS('Status of Curriculum Completion'!$AZ$4:$AZ$38,'Status of Curriculum Completion'!$AP$4:$AP$38,"Geo NA US",'Status of Curriculum Completion'!$AU$4:$AU$38,"In Progress")+SUMIFS('Status of Curriculum Completion'!$BM$4:$BM$38,'Status of Curriculum Completion'!$BC$4:$BC$38,"Geo NA US",'Status of Curriculum Completion'!$BH$4:$BH$38,"In Progress")+SUMIFS('Status of Curriculum Completion'!$BZ$4:$BZ$38,'Status of Curriculum Completion'!$BP$4:$BP$38,"Geo NA US",'Status of Curriculum Completion'!$BU$4:$BU$38,"In Progress")</f>
        <v>0</v>
      </c>
      <c r="P18" s="60">
        <f>SUMIFS('Status of Curriculum Completion'!$AZ$4:$AZ$38,'Status of Curriculum Completion'!$AP$4:$AP$38,"Geo NA US",'Status of Curriculum Completion'!$AU$4:$AU$38,"Planned")+SUMIFS('Status of Curriculum Completion'!$BM$4:$BM$38,'Status of Curriculum Completion'!$BC$4:$BC$38,"Geo NA US",'Status of Curriculum Completion'!$BH$4:$BH$38,"Planned")+SUMIFS('Status of Curriculum Completion'!$BZ$4:$BZ$38,'Status of Curriculum Completion'!$BP$4:$BP$38,"Geo NA US",'Status of Curriculum Completion'!$BU$4:$BU$38,"Planned")</f>
        <v>0</v>
      </c>
      <c r="Q18" s="60">
        <f>SUMIFS('Status of Curriculum Completion'!$AZ$4:$AZ$38,'Status of Curriculum Completion'!$AP$4:$AP$38,"Geo NA US",'Status of Curriculum Completion'!$AV$4:$AV$38,"Complete")+SUMIFS('Status of Curriculum Completion'!$BM$4:$BM$38,'Status of Curriculum Completion'!$BC$4:$BC$38,"Geo NA US",'Status of Curriculum Completion'!$BI$4:$BI$38,"Complete")+SUMIFS('Status of Curriculum Completion'!$BZ$4:$BZ$38,'Status of Curriculum Completion'!$BP$4:$BP$38,"Geo NA US",'Status of Curriculum Completion'!$BV$4:$BV$38,"Complete")</f>
        <v>10</v>
      </c>
      <c r="R18" s="60">
        <f>SUMIFS('Status of Curriculum Completion'!$AZ$4:$AZ$38,'Status of Curriculum Completion'!$AP$4:$AP$38,"Geo NA US",'Status of Curriculum Completion'!$AV$4:$AV$38,"In Progress")+SUMIFS('Status of Curriculum Completion'!$BM$4:$BM$38,'Status of Curriculum Completion'!$BC$4:$BC$38,"Geo NA US",'Status of Curriculum Completion'!$BI$4:$BI$38,"In Progress")+SUMIFS('Status of Curriculum Completion'!$BZ$4:$BZ$38,'Status of Curriculum Completion'!$BP$4:$BP$38,"Geo NA US",'Status of Curriculum Completion'!$BV$4:$BV$38,"In Progress")</f>
        <v>0</v>
      </c>
      <c r="S18" s="60">
        <f>SUMIFS('Status of Curriculum Completion'!$AZ$4:$AZ$38,'Status of Curriculum Completion'!$AP$4:$AP$38,"Geo NA US",'Status of Curriculum Completion'!$AV$4:$AV$38,"Planned")+SUMIFS('Status of Curriculum Completion'!$BM$4:$BM$38,'Status of Curriculum Completion'!$BC$4:$BC$38,"Geo NA US",'Status of Curriculum Completion'!$BI$4:$BI$38,"Planned")+SUMIFS('Status of Curriculum Completion'!$BZ$4:$BZ$38,'Status of Curriculum Completion'!$BP$4:$BP$38,"Geo NA US",'Status of Curriculum Completion'!$BV$4:$BV$38,"Planned")</f>
        <v>0</v>
      </c>
      <c r="U18" s="63" t="s">
        <v>1639</v>
      </c>
      <c r="V18" s="61">
        <f>SUMIFS('Status of Curriculum Completion'!$CM$4:$CM$38,'Status of Curriculum Completion'!$CC$4:$CC$38,"Geo NA US",'Status of Curriculum Completion'!$CG$4:$CG$38,"Complete")+SUMIFS('Status of Curriculum Completion'!$CZ$4:$CZ$38,'Status of Curriculum Completion'!$CP$4:$CP$38,"Geo NA US",'Status of Curriculum Completion'!$CT$4:$CT$38,"Complete")+SUMIFS('Status of Curriculum Completion'!$DM$4:$DM$38,'Status of Curriculum Completion'!$DC$4:$DC$38,"Geo NA US",'Status of Curriculum Completion'!$DG$4:$DG$38,"Complete")</f>
        <v>46</v>
      </c>
      <c r="W18" s="61">
        <f>SUMIFS('Status of Curriculum Completion'!$CM$4:$CM$38,'Status of Curriculum Completion'!$CC$4:$CC$38,"Geo NA US",'Status of Curriculum Completion'!$CG$4:$CG$38,"In Progress")+SUMIFS('Status of Curriculum Completion'!$CZ$4:$CZ$38,'Status of Curriculum Completion'!$CP$4:$CP$38,"Geo NA US",'Status of Curriculum Completion'!$CT$4:$CT$38,"In Progress")+SUMIFS('Status of Curriculum Completion'!$DM$4:$DM$38,'Status of Curriculum Completion'!$DC$4:$DC$38,"Geo NA US",'Status of Curriculum Completion'!$DG$4:$DG$38,"In Progress")</f>
        <v>37</v>
      </c>
      <c r="X18" s="61">
        <f>SUMIFS('Status of Curriculum Completion'!$CM$4:$CM$38,'Status of Curriculum Completion'!$CC$4:$CC$38,"Geo NA US",'Status of Curriculum Completion'!$CG$4:$CG$38,"Planned")+SUMIFS('Status of Curriculum Completion'!$CZ$4:$CZ$38,'Status of Curriculum Completion'!$CP$4:$CP$38,"Geo NA US",'Status of Curriculum Completion'!$CT$4:$CT$38,"Planned")+SUMIFS('Status of Curriculum Completion'!$DM$4:$DM$38,'Status of Curriculum Completion'!$DC$4:$DC$38,"Geo NA US",'Status of Curriculum Completion'!$DG$4:$DG$38,"Planned")</f>
        <v>0</v>
      </c>
      <c r="Y18" s="61">
        <f>SUMIFS('Status of Curriculum Completion'!$CM$4:$CM$38,'Status of Curriculum Completion'!$CC$4:$CC$38,"Geo NA US",'Status of Curriculum Completion'!$CG$4:$CG$38,"Tentative")+SUMIFS('Status of Curriculum Completion'!$CZ$4:$CZ$38,'Status of Curriculum Completion'!$CP$4:$CP$38,"Geo NA US",'Status of Curriculum Completion'!$CT$4:$CT$38,"Tentative")+SUMIFS('Status of Curriculum Completion'!$DM$4:$DM$38,'Status of Curriculum Completion'!$DC$4:$DC$38,"Geo NA US",'Status of Curriculum Completion'!$DG$4:$DG$38,"Tentative")</f>
        <v>0</v>
      </c>
      <c r="Z18" s="61">
        <f>SUMIFS('Status of Curriculum Completion'!$CM$4:$CM$38,'Status of Curriculum Completion'!$CC$4:$CC$38,"Geo NA US",'Status of Curriculum Completion'!$CH$4:$CH$38,"Complete")+SUMIFS('Status of Curriculum Completion'!$CZ$4:$CZ$38,'Status of Curriculum Completion'!$CP$4:$CP$38,"Geo NA US",'Status of Curriculum Completion'!$CU$4:$CU$38,"Complete")+SUMIFS('Status of Curriculum Completion'!$DM$4:$DM$38,'Status of Curriculum Completion'!$DC$4:$DC$38,"Geo NA US",'Status of Curriculum Completion'!$DH$4:$DH$38,"Complete")</f>
        <v>46</v>
      </c>
      <c r="AA18" s="61">
        <f>SUMIFS('Status of Curriculum Completion'!$CM$4:$CM$38,'Status of Curriculum Completion'!$CC$4:$CC$38,"Geo NA US",'Status of Curriculum Completion'!$CH$4:$CH$38,"In Progress")+SUMIFS('Status of Curriculum Completion'!$CZ$4:$CZ$38,'Status of Curriculum Completion'!$CP$4:$CP$38,"Geo NA US",'Status of Curriculum Completion'!$CU$4:$CU$38,"In Progress")+SUMIFS('Status of Curriculum Completion'!$DM$4:$DM$38,'Status of Curriculum Completion'!$DC$4:$DC$38,"Geo NA US",'Status of Curriculum Completion'!$DH$4:$DH$38,"In Progress")</f>
        <v>0</v>
      </c>
      <c r="AB18" s="61">
        <f>SUMIFS('Status of Curriculum Completion'!$CM$4:$CM$38,'Status of Curriculum Completion'!$CC$4:$CC$38,"Geo NA US",'Status of Curriculum Completion'!$CH$4:$CH$38,"Planned")+SUMIFS('Status of Curriculum Completion'!$CZ$4:$CZ$38,'Status of Curriculum Completion'!$CP$4:$CP$38,"Geo NA US",'Status of Curriculum Completion'!$CU$4:$CU$38,"Planned")+SUMIFS('Status of Curriculum Completion'!$DM$4:$DM$38,'Status of Curriculum Completion'!$DC$4:$DC$38,"Geo NA US",'Status of Curriculum Completion'!$DH$4:$DH$38,"Planned")</f>
        <v>0</v>
      </c>
      <c r="AC18" s="61">
        <f>SUMIFS('Status of Curriculum Completion'!$CM$4:$CM$38,'Status of Curriculum Completion'!$CC$4:$CC$38,"Geo NA US",'Status of Curriculum Completion'!$CH$4:$CH$38,"Tentative")+SUMIFS('Status of Curriculum Completion'!$CZ$4:$CZ$38,'Status of Curriculum Completion'!$CP$4:$CP$38,"Geo NA US",'Status of Curriculum Completion'!$CU$4:$CU$38,"Tentative")+SUMIFS('Status of Curriculum Completion'!$DM$4:$DM$38,'Status of Curriculum Completion'!$DC$4:$DC$38,"Geo NA US",'Status of Curriculum Completion'!$DH$4:$DH$38,"Tentative")</f>
        <v>0</v>
      </c>
      <c r="AD18" s="61">
        <f>SUMIFS('Status of Curriculum Completion'!$CM$4:$CM$38,'Status of Curriculum Completion'!$CC$4:$CC$38,"Geo NA US",'Status of Curriculum Completion'!$CI$4:$CI$38,"Complete")+SUMIFS('Status of Curriculum Completion'!$CZ$4:$CZ$38,'Status of Curriculum Completion'!$CP$4:$CP$38,"Geo NA US",'Status of Curriculum Completion'!$CV$4:$CV$38,"Complete")+SUMIFS('Status of Curriculum Completion'!$DM$4:$DM$38,'Status of Curriculum Completion'!$DC$4:$DC$38,"Geo NA US",'Status of Curriculum Completion'!$DI$4:$DI$38,"Complete")</f>
        <v>16</v>
      </c>
      <c r="AE18" s="61">
        <f>SUMIFS('Status of Curriculum Completion'!$CM$4:$CM$38,'Status of Curriculum Completion'!$CC$4:$CC$38,"Geo NA US",'Status of Curriculum Completion'!$CI$4:$CI$38,"In Progress")+SUMIFS('Status of Curriculum Completion'!$CZ$4:$CZ$38,'Status of Curriculum Completion'!$CP$4:$CP$38,"Geo NA US",'Status of Curriculum Completion'!$CV$4:$CV$38,"In Progress")+SUMIFS('Status of Curriculum Completion'!$DM$4:$DM$38,'Status of Curriculum Completion'!$DC$4:$DC$38,"Geo NA US",'Status of Curriculum Completion'!$DI$4:$DI$38,"In Progress")</f>
        <v>30</v>
      </c>
      <c r="AF18" s="61">
        <f>SUMIFS('Status of Curriculum Completion'!$CM$4:$CM$38,'Status of Curriculum Completion'!$CC$4:$CC$38,"Geo NA US",'Status of Curriculum Completion'!$CI$4:$CI$38,"Planned")+SUMIFS('Status of Curriculum Completion'!$CZ$4:$CZ$38,'Status of Curriculum Completion'!$CP$4:$CP$38,"Geo NA US",'Status of Curriculum Completion'!$CV$4:$CV$38,"Planned")+SUMIFS('Status of Curriculum Completion'!$DM$4:$DM$38,'Status of Curriculum Completion'!$DC$4:$DC$38,"Geo NA US",'Status of Curriculum Completion'!$DI$4:$DI$38,"Planned")</f>
        <v>0</v>
      </c>
      <c r="AG18" s="61">
        <f>SUMIFS('Status of Curriculum Completion'!$CM$4:$CM$38,'Status of Curriculum Completion'!$CC$4:$CC$38,"Geo NA US",'Status of Curriculum Completion'!$CI$4:$CI$38,"Tentative")+SUMIFS('Status of Curriculum Completion'!$CZ$4:$CZ$38,'Status of Curriculum Completion'!$CP$4:$CP$38,"Geo NA US",'Status of Curriculum Completion'!$CV$4:$CV$38,"Tentative")+SUMIFS('Status of Curriculum Completion'!$DM$4:$DM$38,'Status of Curriculum Completion'!$DC$4:$DC$38,"Geo NA US",'Status of Curriculum Completion'!$DI$4:$DI$38,"Tentative")</f>
        <v>0</v>
      </c>
      <c r="AH18" s="62">
        <f>SUMIFS('Status of Curriculum Completion'!$DZ$4:$DZ$38,'Status of Curriculum Completion'!$DP$4:$DP$38,"Geo NA US",'Status of Curriculum Completion'!$DT$4:$DT$38,"Complete")+SUMIFS('Status of Curriculum Completion'!$EM$4:$EM$38,'Status of Curriculum Completion'!$EC$4:$EC$38,"Geo NA US",'Status of Curriculum Completion'!$EG$4:$EG$38,"Complete")+SUMIFS('Status of Curriculum Completion'!$EZ$4:$EZ$38,'Status of Curriculum Completion'!$EP$4:$EP$38,"Geo NA US",'Status of Curriculum Completion'!$ET$4:$ET$38,"Complete")</f>
        <v>0</v>
      </c>
      <c r="AI18" s="62">
        <f>SUMIFS('Status of Curriculum Completion'!$DZ$4:$DZ$38,'Status of Curriculum Completion'!$DP$4:$DP$38,"Geo NA US",'Status of Curriculum Completion'!$DT$4:$DT$38,"In Progress")+SUMIFS('Status of Curriculum Completion'!$EM$4:$EM$38,'Status of Curriculum Completion'!$EC$4:$EC$38,"Geo NA US",'Status of Curriculum Completion'!$EG$4:$EG$38,"In Progress")+SUMIFS('Status of Curriculum Completion'!$EZ$4:$EZ$38,'Status of Curriculum Completion'!$EP$4:$EP$38,"Geo NA US",'Status of Curriculum Completion'!$ET$4:$ET$38,"In Progress")</f>
        <v>49</v>
      </c>
      <c r="AJ18" s="62">
        <f>SUMIFS('Status of Curriculum Completion'!$DZ$4:$DZ$38,'Status of Curriculum Completion'!$DP$4:$DP$38,"Geo NA US",'Status of Curriculum Completion'!$DT$4:$DT$38,"Planned")+SUMIFS('Status of Curriculum Completion'!$EM$4:$EM$38,'Status of Curriculum Completion'!$EC$4:$EC$38,"Geo NA US",'Status of Curriculum Completion'!$EG$4:$EG$38,"Planned")+SUMIFS('Status of Curriculum Completion'!$EZ$4:$EZ$38,'Status of Curriculum Completion'!$EP$4:$EP$38,"Geo NA US",'Status of Curriculum Completion'!$ET$4:$ET$38,"Planned")</f>
        <v>0</v>
      </c>
      <c r="AK18" s="62">
        <f>SUMIFS('Status of Curriculum Completion'!$DZ$4:$DZ$38,'Status of Curriculum Completion'!$DP$4:$DP$38,"Geo NA US",'Status of Curriculum Completion'!$DT$4:$DT$38,"Tentative")+SUMIFS('Status of Curriculum Completion'!$EM$4:$EM$38,'Status of Curriculum Completion'!$EC$4:$EC$38,"Geo NA US",'Status of Curriculum Completion'!$EG$4:$EG$38,"Tentative")+SUMIFS('Status of Curriculum Completion'!$EZ$4:$EZ$38,'Status of Curriculum Completion'!$EP$4:$EP$38,"Geo NA US",'Status of Curriculum Completion'!$ET$4:$ET$38,"Tentative")</f>
        <v>0</v>
      </c>
      <c r="AL18" s="62">
        <f>SUMIFS('Status of Curriculum Completion'!$DZ$4:$DZ$38,'Status of Curriculum Completion'!$DP$4:$DP$38,"Geo NA US",'Status of Curriculum Completion'!$DU$4:$DU$38,"Complete")+SUMIFS('Status of Curriculum Completion'!$EM$4:$EM$38,'Status of Curriculum Completion'!$EC$4:$EC$38,"Geo NA US",'Status of Curriculum Completion'!$EH$4:$EH$38,"Complete")+SUMIFS('Status of Curriculum Completion'!$EZ$4:$EZ$38,'Status of Curriculum Completion'!$EP$4:$EP$38,"Geo NA US",'Status of Curriculum Completion'!$EU$4:$EU$38,"Complete")</f>
        <v>0</v>
      </c>
      <c r="AM18" s="62">
        <f>SUMIFS('Status of Curriculum Completion'!$DZ$4:$DZ$38,'Status of Curriculum Completion'!$DP$4:$DP$38,"Geo NA US",'Status of Curriculum Completion'!$DU$4:$DU$38,"In Progress")+SUMIFS('Status of Curriculum Completion'!$EM$4:$EM$38,'Status of Curriculum Completion'!$EC$4:$EC$38,"Geo NA US",'Status of Curriculum Completion'!$EH$4:$EH$38,"In Progress")+SUMIFS('Status of Curriculum Completion'!$EZ$4:$EZ$38,'Status of Curriculum Completion'!$EP$4:$EP$38,"Geo NA US",'Status of Curriculum Completion'!$EU$4:$EU$38,"In Progress")</f>
        <v>0</v>
      </c>
      <c r="AN18" s="62">
        <f>SUMIFS('Status of Curriculum Completion'!$DZ$4:$DZ$38,'Status of Curriculum Completion'!$DP$4:$DP$38,"Geo NA US",'Status of Curriculum Completion'!$DU$4:$DU$38,"Planned")+SUMIFS('Status of Curriculum Completion'!$EM$4:$EM$38,'Status of Curriculum Completion'!$EC$4:$EC$38,"Geo NA US",'Status of Curriculum Completion'!$EH$4:$EH$38,"Planned")+SUMIFS('Status of Curriculum Completion'!$EZ$4:$EZ$38,'Status of Curriculum Completion'!$EP$4:$EP$38,"Geo NA US",'Status of Curriculum Completion'!$EU$4:$EU$38,"Planned")</f>
        <v>0</v>
      </c>
      <c r="AO18" s="62">
        <f>SUMIFS('Status of Curriculum Completion'!$DZ$4:$DZ$38,'Status of Curriculum Completion'!$DP$4:$DP$38,"Geo NA US",'Status of Curriculum Completion'!$DU$4:$DU$38,"Tentative")+SUMIFS('Status of Curriculum Completion'!$EM$4:$EM$38,'Status of Curriculum Completion'!$EC$4:$EC$38,"Geo NA US",'Status of Curriculum Completion'!$EH$4:$EH$38,"Tentative")+SUMIFS('Status of Curriculum Completion'!$EZ$4:$EZ$38,'Status of Curriculum Completion'!$EP$4:$EP$38,"Geo NA US",'Status of Curriculum Completion'!$EU$4:$EU$38,"Tentative")</f>
        <v>0</v>
      </c>
      <c r="AP18" s="62">
        <f>SUMIFS('Status of Curriculum Completion'!$DZ$4:$DZ$38,'Status of Curriculum Completion'!$DP$4:$DP$38,"Geo NA US",'Status of Curriculum Completion'!$DV$4:$DV$38,"Complete")+SUMIFS('Status of Curriculum Completion'!$EM$4:$EM$38,'Status of Curriculum Completion'!$EC$4:$EC$38,"Geo NA US",'Status of Curriculum Completion'!$EI$4:$EI$38,"Complete")+SUMIFS('Status of Curriculum Completion'!$EZ$4:$EZ$38,'Status of Curriculum Completion'!$EP$4:$EP$38,"Geo NA US",'Status of Curriculum Completion'!$EV$4:$EV$38,"Complete")</f>
        <v>0</v>
      </c>
      <c r="AQ18" s="62">
        <f>SUMIFS('Status of Curriculum Completion'!$DZ$4:$DZ$38,'Status of Curriculum Completion'!$DP$4:$DP$38,"Geo NA US",'Status of Curriculum Completion'!$DV$4:$DV$38,"In Progress")+SUMIFS('Status of Curriculum Completion'!$EM$4:$EM$38,'Status of Curriculum Completion'!$EC$4:$EC$38,"Geo NA US",'Status of Curriculum Completion'!$EI$4:$EI$38,"In Progress")+SUMIFS('Status of Curriculum Completion'!$EZ$4:$EZ$38,'Status of Curriculum Completion'!$EP$4:$EP$38,"Geo NA US",'Status of Curriculum Completion'!$EV$4:$EV$38,"In Progress")</f>
        <v>0</v>
      </c>
      <c r="AR18" s="62">
        <f>SUMIFS('Status of Curriculum Completion'!$DZ$4:$DZ$38,'Status of Curriculum Completion'!$DP$4:$DP$38,"Geo NA US",'Status of Curriculum Completion'!$DV$4:$DV$38,"Planned")+SUMIFS('Status of Curriculum Completion'!$EM$4:$EM$38,'Status of Curriculum Completion'!$EC$4:$EC$38,"Geo NA US",'Status of Curriculum Completion'!$EI$4:$EI$38,"Planned")+SUMIFS('Status of Curriculum Completion'!$EZ$4:$EZ$38,'Status of Curriculum Completion'!$EP$4:$EP$38,"Geo NA US",'Status of Curriculum Completion'!$EV$4:$EV$38,"Planned")</f>
        <v>0</v>
      </c>
      <c r="AS18" s="62">
        <f>SUMIFS('Status of Curriculum Completion'!$DZ$4:$DZ$38,'Status of Curriculum Completion'!$DP$4:$DP$38,"Geo NA US",'Status of Curriculum Completion'!$DV$4:$DV$38,"Tentative")+SUMIFS('Status of Curriculum Completion'!$EM$4:$EM$38,'Status of Curriculum Completion'!$EC$4:$EC$38,"Geo NA US",'Status of Curriculum Completion'!$EI$4:$EI$38,"Tentative")+SUMIFS('Status of Curriculum Completion'!$EZ$4:$EZ$38,'Status of Curriculum Completion'!$EP$4:$EP$38,"Geo NA US",'Status of Curriculum Completion'!$EV$4:$EV$38,"Tentative")</f>
        <v>0</v>
      </c>
    </row>
    <row r="19" spans="1:45" ht="44" thickBot="1">
      <c r="A19" s="63" t="s">
        <v>1640</v>
      </c>
      <c r="B19" s="59">
        <f>SUMIFS('Status of Curriculum Completion'!M$4:M$38,'Status of Curriculum Completion'!C$4:C$38,"Geo WE",'Status of Curriculum Completion'!G$4:G$38,"Complete")+SUMIFS('Status of Curriculum Completion'!Z$4:Z$38,'Status of Curriculum Completion'!P$4:P$38,"Geo WE",'Status of Curriculum Completion'!T$4:T$38,"Complete")+SUMIFS('Status of Curriculum Completion'!AM$4:AM$38,'Status of Curriculum Completion'!AC$4:AC$38,"Geo WE",'Status of Curriculum Completion'!AG$4:AG$38,"Complete")</f>
        <v>6</v>
      </c>
      <c r="C19" s="59">
        <f>SUMIFS('Status of Curriculum Completion'!$M$4:$M$38,'Status of Curriculum Completion'!$C$4:$C$38,"Geo WE",'Status of Curriculum Completion'!$G$4:$G$38,"In progress")+SUMIFS('Status of Curriculum Completion'!$Z$4:$Z$38,'Status of Curriculum Completion'!$P$4:$P$38,"Geo WE",'Status of Curriculum Completion'!$T$4:$T$38,"In progress")+SUMIFS('Status of Curriculum Completion'!$AM$4:$AM$38,'Status of Curriculum Completion'!$AC$4:$AC$38,"Geo WE",'Status of Curriculum Completion'!$AG$4:$AG$38,"In progress")</f>
        <v>0</v>
      </c>
      <c r="D19"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E19" s="59">
        <f>SUMIFS('Status of Curriculum Completion'!$M$4:$M$38,'Status of Curriculum Completion'!$C$4:$C$38,"Geo WE",'Status of Curriculum Completion'!$H$4:$H$38,"Complete")+SUMIFS('Status of Curriculum Completion'!$Z$4:$Z$38,'Status of Curriculum Completion'!$P$4:$P$38,"Geo WE",'Status of Curriculum Completion'!$U$4:$U$38,"Complete")+SUMIFS('Status of Curriculum Completion'!$AM$4:$AM$38,'Status of Curriculum Completion'!$AC$4:$AC$38,"Geo WE",'Status of Curriculum Completion'!$AH$4:$AH$38,"Complete")</f>
        <v>6</v>
      </c>
      <c r="F19" s="59">
        <f>SUMIFS('Status of Curriculum Completion'!$M$4:$M$38,'Status of Curriculum Completion'!$C$4:$C$38,"Geo WE",'Status of Curriculum Completion'!$H$4:$H$38,"In Progress")+SUMIFS('Status of Curriculum Completion'!$Z$4:$Z$38,'Status of Curriculum Completion'!$P$4:$P$38,"Geo WE",'Status of Curriculum Completion'!$U$4:$U$38,"In Progress")+SUMIFS('Status of Curriculum Completion'!$AM$4:$AM$38,'Status of Curriculum Completion'!$AC$4:$AC$38,"Geo WE",'Status of Curriculum Completion'!$AH$4:$AH$38,"In Progress")</f>
        <v>0</v>
      </c>
      <c r="G19" s="59">
        <f>SUMIFS('Status of Curriculum Completion'!$M$4:$M$38,'Status of Curriculum Completion'!$C$4:$C$38,"Geo WE",'Status of Curriculum Completion'!$H$4:$H$38,"Planned")+SUMIFS('Status of Curriculum Completion'!$Z$4:$Z$38,'Status of Curriculum Completion'!$P$4:$P$38,"Geo WE",'Status of Curriculum Completion'!$U$4:$U$38,"Planned")+SUMIFS('Status of Curriculum Completion'!$AM$4:$AM$38,'Status of Curriculum Completion'!$AC$4:$AC$38,"Geo WE",'Status of Curriculum Completion'!$AH$4:$AH$38,"Planned")</f>
        <v>0</v>
      </c>
      <c r="H19" s="59">
        <f>SUMIFS('Status of Curriculum Completion'!$M$4:$M$38,'Status of Curriculum Completion'!$C$4:$C$38,"Geo WE",'Status of Curriculum Completion'!$I$4:$I$38,"Complete")+SUMIFS('Status of Curriculum Completion'!$Z$4:$Z$38,'Status of Curriculum Completion'!$P$4:$P$38,"Geo WE",'Status of Curriculum Completion'!$V$4:$V$38,"Complete")+SUMIFS('Status of Curriculum Completion'!$AM$4:$AM$38,'Status of Curriculum Completion'!$AC$4:$AC$38,"Geo WE",'Status of Curriculum Completion'!$AI$4:$AI$38,"Complete")</f>
        <v>6</v>
      </c>
      <c r="I19" s="59">
        <f>SUMIFS('Status of Curriculum Completion'!$M$4:$M$38,'Status of Curriculum Completion'!$C$4:$C$38,"Geo WE",'Status of Curriculum Completion'!$I$4:$I$38,"In Progress")+SUMIFS('Status of Curriculum Completion'!$Z$4:$Z$38,'Status of Curriculum Completion'!$P$4:$P$38,"Geo WE",'Status of Curriculum Completion'!$V$4:$V$38,"In Progress")+SUMIFS('Status of Curriculum Completion'!$AM$4:$AM$38,'Status of Curriculum Completion'!$AC$4:$AC$38,"Geo WE",'Status of Curriculum Completion'!$AI$4:$AI$38,"In Progress")</f>
        <v>0</v>
      </c>
      <c r="J19" s="59">
        <f>SUMIFS('Status of Curriculum Completion'!$M$4:$M$38,'Status of Curriculum Completion'!$C$4:$C$38,"Geo WE",'Status of Curriculum Completion'!$I$4:$I$38,"Planned")+SUMIFS('Status of Curriculum Completion'!$Z$4:$Z$38,'Status of Curriculum Completion'!$P$4:$P$38,"Geo WE",'Status of Curriculum Completion'!$V$4:$V$38,"Planned")+SUMIFS('Status of Curriculum Completion'!$AM$4:$AM$38,'Status of Curriculum Completion'!$AC$4:$AC$38,"Geo WE",'Status of Curriculum Completion'!$AI$4:$AI$38,"Planned")</f>
        <v>0</v>
      </c>
      <c r="K19" s="60">
        <f>SUMIFS('Status of Curriculum Completion'!$AZ$4:$AZ$38,'Status of Curriculum Completion'!$AP$4:$AP$38,"Geo WE",'Status of Curriculum Completion'!$AT$4:$AT$38,"Complete")+SUMIFS('Status of Curriculum Completion'!$BM$4:$BM$38,'Status of Curriculum Completion'!$BC$4:$BC$38,"Geo WE",'Status of Curriculum Completion'!$BG$4:$BG$38,"Complete")+SUMIFS('Status of Curriculum Completion'!$BZ$4:$BZ$38,'Status of Curriculum Completion'!$BP$4:$BP$38,"Geo WE",'Status of Curriculum Completion'!$BT$4:$BT$38,"Complete")</f>
        <v>0</v>
      </c>
      <c r="L19" s="60">
        <f>SUMIFS('Status of Curriculum Completion'!$AZ$4:$AZ$38,'Status of Curriculum Completion'!$AP$4:$AP$38,"Geo WE",'Status of Curriculum Completion'!$AT$4:$AT$38,"In Progress")+SUMIFS('Status of Curriculum Completion'!$BM$4:$BM$38,'Status of Curriculum Completion'!$BC$4:$BC$38,"Geo WE",'Status of Curriculum Completion'!$BG$4:$BG$38,"In Progress")+SUMIFS('Status of Curriculum Completion'!$BZ$4:$BZ$38,'Status of Curriculum Completion'!$BP$4:$BP$38,"Geo WE",'Status of Curriculum Completion'!$BT$4:$BT$38,"In Progress")</f>
        <v>0</v>
      </c>
      <c r="M19" s="60">
        <f>SUMIFS('Status of Curriculum Completion'!$AZ$4:$AZ$38,'Status of Curriculum Completion'!$AP$4:$AP$38,"Geo WE",'Status of Curriculum Completion'!$AT$4:$AT$38,"Planned")+SUMIFS('Status of Curriculum Completion'!$BM$4:$BM$38,'Status of Curriculum Completion'!$BC$4:$BC$38,"Geo WE",'Status of Curriculum Completion'!$BG$4:$BG$38,"Planned")+SUMIFS('Status of Curriculum Completion'!$BZ$4:$BZ$38,'Status of Curriculum Completion'!$BP$4:$BP$38,"Geo WE",'Status of Curriculum Completion'!$BT$4:$BT$38,"Planned")</f>
        <v>0</v>
      </c>
      <c r="N19" s="60">
        <f>SUMIFS('Status of Curriculum Completion'!$AZ$4:$AZ$38,'Status of Curriculum Completion'!$AP$4:$AP$38,"Geo WE",'Status of Curriculum Completion'!$AU$4:$AU$38,"Complete")+SUMIFS('Status of Curriculum Completion'!$BM$4:$BM$38,'Status of Curriculum Completion'!$BC$4:$BC$38,"Geo WE",'Status of Curriculum Completion'!$BH$4:$BH$38,"Complete")+SUMIFS('Status of Curriculum Completion'!$BZ$4:$BZ$38,'Status of Curriculum Completion'!$BP$4:$BP$38,"Geo WE",'Status of Curriculum Completion'!$BU$4:$BU$38,"Complete")</f>
        <v>0</v>
      </c>
      <c r="O19" s="60">
        <f>SUMIFS('Status of Curriculum Completion'!$AZ$4:$AZ$38,'Status of Curriculum Completion'!$AP$4:$AP$38,"Geo WE",'Status of Curriculum Completion'!$AU$4:$AU$38,"In Progress")+SUMIFS('Status of Curriculum Completion'!$BM$4:$BM$38,'Status of Curriculum Completion'!$BC$4:$BC$38,"Geo WE",'Status of Curriculum Completion'!$BH$4:$BH$38,"In Progress")+SUMIFS('Status of Curriculum Completion'!$BZ$4:$BZ$38,'Status of Curriculum Completion'!$BP$4:$BP$38,"Geo WE",'Status of Curriculum Completion'!$BU$4:$BU$38,"In Progress")</f>
        <v>0</v>
      </c>
      <c r="P19" s="60">
        <f>SUMIFS('Status of Curriculum Completion'!$AZ$4:$AZ$38,'Status of Curriculum Completion'!$AP$4:$AP$38,"Geo WE",'Status of Curriculum Completion'!$AU$4:$AU$38,"Planned")+SUMIFS('Status of Curriculum Completion'!$BM$4:$BM$38,'Status of Curriculum Completion'!$BC$4:$BC$38,"Geo WE",'Status of Curriculum Completion'!$BH$4:$BH$38,"Planned")+SUMIFS('Status of Curriculum Completion'!$BZ$4:$BZ$38,'Status of Curriculum Completion'!$BP$4:$BP$38,"Geo WE",'Status of Curriculum Completion'!$BU$4:$BU$38,"Planned")</f>
        <v>0</v>
      </c>
      <c r="Q19" s="60">
        <f>SUMIFS('Status of Curriculum Completion'!$AZ$4:$AZ$38,'Status of Curriculum Completion'!$AP$4:$AP$38,"Geo WE",'Status of Curriculum Completion'!$AV$4:$AV$38,"Complete")+SUMIFS('Status of Curriculum Completion'!$BM$4:$BM$38,'Status of Curriculum Completion'!$BC$4:$BC$38,"Geo WE",'Status of Curriculum Completion'!$BI$4:$BI$38,"Complete")+SUMIFS('Status of Curriculum Completion'!$BZ$4:$BZ$38,'Status of Curriculum Completion'!$BP$4:$BP$38,"Geo WE",'Status of Curriculum Completion'!$BV$4:$BV$38,"Complete")</f>
        <v>0</v>
      </c>
      <c r="R19" s="60">
        <f>SUMIFS('Status of Curriculum Completion'!$AZ$4:$AZ$38,'Status of Curriculum Completion'!$AP$4:$AP$38,"Geo WE",'Status of Curriculum Completion'!$AV$4:$AV$38,"In Progress")+SUMIFS('Status of Curriculum Completion'!$BM$4:$BM$38,'Status of Curriculum Completion'!$BC$4:$BC$38,"Geo WE",'Status of Curriculum Completion'!$BI$4:$BI$38,"In Progress")+SUMIFS('Status of Curriculum Completion'!$BZ$4:$BZ$38,'Status of Curriculum Completion'!$BP$4:$BP$38,"Geo WE",'Status of Curriculum Completion'!$BV$4:$BV$38,"In Progress")</f>
        <v>0</v>
      </c>
      <c r="S19" s="60">
        <f>SUMIFS('Status of Curriculum Completion'!$AZ$4:$AZ$38,'Status of Curriculum Completion'!$AP$4:$AP$38,"Geo WE",'Status of Curriculum Completion'!$AV$4:$AV$38,"Planned")+SUMIFS('Status of Curriculum Completion'!$BM$4:$BM$38,'Status of Curriculum Completion'!$BC$4:$BC$38,"Geo WE",'Status of Curriculum Completion'!$BI$4:$BI$38,"Planned")+SUMIFS('Status of Curriculum Completion'!$BZ$4:$BZ$38,'Status of Curriculum Completion'!$BP$4:$BP$38,"Geo WE",'Status of Curriculum Completion'!$BV$4:$BV$38,"Planned")</f>
        <v>0</v>
      </c>
      <c r="U19" s="63" t="s">
        <v>1640</v>
      </c>
      <c r="V19" s="61">
        <f>SUMIFS('Status of Curriculum Completion'!$CM$4:$CM$38,'Status of Curriculum Completion'!$CC$4:$CC$38,"Geo WE",'Status of Curriculum Completion'!$CG$4:$CG$38,"Complete")+SUMIFS('Status of Curriculum Completion'!$CZ$4:$CZ$38,'Status of Curriculum Completion'!$CP$4:$CP$38,"Geo WE",'Status of Curriculum Completion'!$CT$4:$CT$38,"Complete")+SUMIFS('Status of Curriculum Completion'!$DM$4:$DM$38,'Status of Curriculum Completion'!$DC$4:$DC$38,"Geo WE",'Status of Curriculum Completion'!$DG$4:$DG$38,"Complete")</f>
        <v>93</v>
      </c>
      <c r="W19" s="61">
        <f>SUMIFS('Status of Curriculum Completion'!$CM$4:$CM$38,'Status of Curriculum Completion'!$CC$4:$CC$38,"Geo WE",'Status of Curriculum Completion'!$CG$4:$CG$38,"In Progress")+SUMIFS('Status of Curriculum Completion'!$CZ$4:$CZ$38,'Status of Curriculum Completion'!$CP$4:$CP$38,"Geo WE",'Status of Curriculum Completion'!$CT$4:$CT$38,"In Progress")+SUMIFS('Status of Curriculum Completion'!$DM$4:$DM$38,'Status of Curriculum Completion'!$DC$4:$DC$38,"Geo WE",'Status of Curriculum Completion'!$DG$4:$DG$38,"In Progress")</f>
        <v>0</v>
      </c>
      <c r="X19" s="61">
        <f>SUMIFS('Status of Curriculum Completion'!$CM$4:$CM$38,'Status of Curriculum Completion'!$CC$4:$CC$38,"Geo WE",'Status of Curriculum Completion'!$CG$4:$CG$38,"Planned")+SUMIFS('Status of Curriculum Completion'!$CZ$4:$CZ$38,'Status of Curriculum Completion'!$CP$4:$CP$38,"Geo WE",'Status of Curriculum Completion'!$CT$4:$CT$38,"Planned")+SUMIFS('Status of Curriculum Completion'!$DM$4:$DM$38,'Status of Curriculum Completion'!$DC$4:$DC$38,"Geo WE",'Status of Curriculum Completion'!$DG$4:$DG$38,"Planned")</f>
        <v>0</v>
      </c>
      <c r="Y19" s="61">
        <f>SUMIFS('Status of Curriculum Completion'!$CM$4:$CM$38,'Status of Curriculum Completion'!$CC$4:$CC$38,"Geo WE",'Status of Curriculum Completion'!$CG$4:$CG$38,"Tentative")+SUMIFS('Status of Curriculum Completion'!$CZ$4:$CZ$38,'Status of Curriculum Completion'!$CP$4:$CP$38,"Geo WE",'Status of Curriculum Completion'!$CT$4:$CT$38,"Tentative")+SUMIFS('Status of Curriculum Completion'!$DM$4:$DM$38,'Status of Curriculum Completion'!$DC$4:$DC$38,"Geo WE",'Status of Curriculum Completion'!$DG$4:$DG$38,"Tentative")</f>
        <v>0</v>
      </c>
      <c r="Z19" s="61">
        <f>SUMIFS('Status of Curriculum Completion'!$CM$4:$CM$38,'Status of Curriculum Completion'!$CC$4:$CC$38,"Geo WE",'Status of Curriculum Completion'!$CH$4:$CH$38,"Complete")+SUMIFS('Status of Curriculum Completion'!$CZ$4:$CZ$38,'Status of Curriculum Completion'!$CP$4:$CP$38,"Geo WE",'Status of Curriculum Completion'!$CU$4:$CU$38,"Complete")+SUMIFS('Status of Curriculum Completion'!$DM$4:$DM$38,'Status of Curriculum Completion'!$DC$4:$DC$38,"Geo WE",'Status of Curriculum Completion'!$DH$4:$DH$38,"Complete")</f>
        <v>93</v>
      </c>
      <c r="AA19" s="61">
        <f>SUMIFS('Status of Curriculum Completion'!$CM$4:$CM$38,'Status of Curriculum Completion'!$CC$4:$CC$38,"Geo WE",'Status of Curriculum Completion'!$CH$4:$CH$38,"In Progress")+SUMIFS('Status of Curriculum Completion'!$CZ$4:$CZ$38,'Status of Curriculum Completion'!$CP$4:$CP$38,"Geo WE",'Status of Curriculum Completion'!$CU$4:$CU$38,"In Progress")+SUMIFS('Status of Curriculum Completion'!$DM$4:$DM$38,'Status of Curriculum Completion'!$DC$4:$DC$38,"Geo WE",'Status of Curriculum Completion'!$DH$4:$DH$38,"In Progress")</f>
        <v>0</v>
      </c>
      <c r="AB19" s="61">
        <f>SUMIFS('Status of Curriculum Completion'!$CM$4:$CM$38,'Status of Curriculum Completion'!$CC$4:$CC$38,"Geo WE",'Status of Curriculum Completion'!$CH$4:$CH$38,"Planned")+SUMIFS('Status of Curriculum Completion'!$CZ$4:$CZ$38,'Status of Curriculum Completion'!$CP$4:$CP$38,"Geo WE",'Status of Curriculum Completion'!$CU$4:$CU$38,"Planned")+SUMIFS('Status of Curriculum Completion'!$DM$4:$DM$38,'Status of Curriculum Completion'!$DC$4:$DC$38,"Geo WE",'Status of Curriculum Completion'!$DH$4:$DH$38,"Planned")</f>
        <v>0</v>
      </c>
      <c r="AC19" s="61">
        <f>SUMIFS('Status of Curriculum Completion'!$CM$4:$CM$38,'Status of Curriculum Completion'!$CC$4:$CC$38,"Geo WE",'Status of Curriculum Completion'!$CH$4:$CH$38,"Tentative")+SUMIFS('Status of Curriculum Completion'!$CZ$4:$CZ$38,'Status of Curriculum Completion'!$CP$4:$CP$38,"Geo WE",'Status of Curriculum Completion'!$CU$4:$CU$38,"Tentative")+SUMIFS('Status of Curriculum Completion'!$DM$4:$DM$38,'Status of Curriculum Completion'!$DC$4:$DC$38,"Geo WE",'Status of Curriculum Completion'!$DH$4:$DH$38,"Tentative")</f>
        <v>0</v>
      </c>
      <c r="AD19" s="61">
        <f>SUMIFS('Status of Curriculum Completion'!$CM$4:$CM$38,'Status of Curriculum Completion'!$CC$4:$CC$38,"Geo WE",'Status of Curriculum Completion'!$CI$4:$CI$38,"Complete")+SUMIFS('Status of Curriculum Completion'!$CZ$4:$CZ$38,'Status of Curriculum Completion'!$CP$4:$CP$38,"Geo WE",'Status of Curriculum Completion'!$CV$4:$CV$38,"Complete")+SUMIFS('Status of Curriculum Completion'!$DM$4:$DM$38,'Status of Curriculum Completion'!$DC$4:$DC$38,"Geo WE",'Status of Curriculum Completion'!$DI$4:$DI$38,"Complete")</f>
        <v>61</v>
      </c>
      <c r="AE19" s="61">
        <f>SUMIFS('Status of Curriculum Completion'!$CM$4:$CM$38,'Status of Curriculum Completion'!$CC$4:$CC$38,"Geo WE",'Status of Curriculum Completion'!$CI$4:$CI$38,"In Progress")+SUMIFS('Status of Curriculum Completion'!$CZ$4:$CZ$38,'Status of Curriculum Completion'!$CP$4:$CP$38,"Geo WE",'Status of Curriculum Completion'!$CV$4:$CV$38,"In Progress")+SUMIFS('Status of Curriculum Completion'!$DM$4:$DM$38,'Status of Curriculum Completion'!$DC$4:$DC$38,"Geo WE",'Status of Curriculum Completion'!$DI$4:$DI$38,"In Progress")</f>
        <v>32</v>
      </c>
      <c r="AF19" s="61">
        <f>SUMIFS('Status of Curriculum Completion'!$CM$4:$CM$38,'Status of Curriculum Completion'!$CC$4:$CC$38,"Geo WE",'Status of Curriculum Completion'!$CI$4:$CI$38,"Planned")+SUMIFS('Status of Curriculum Completion'!$CZ$4:$CZ$38,'Status of Curriculum Completion'!$CP$4:$CP$38,"Geo WE",'Status of Curriculum Completion'!$CV$4:$CV$38,"Planned")+SUMIFS('Status of Curriculum Completion'!$DM$4:$DM$38,'Status of Curriculum Completion'!$DC$4:$DC$38,"Geo WE",'Status of Curriculum Completion'!$DI$4:$DI$38,"Planned")</f>
        <v>0</v>
      </c>
      <c r="AG19" s="61">
        <f>SUMIFS('Status of Curriculum Completion'!$CM$4:$CM$38,'Status of Curriculum Completion'!$CC$4:$CC$38,"Geo WE",'Status of Curriculum Completion'!$CI$4:$CI$38,"Tentative")+SUMIFS('Status of Curriculum Completion'!$CZ$4:$CZ$38,'Status of Curriculum Completion'!$CP$4:$CP$38,"Geo WE",'Status of Curriculum Completion'!$CV$4:$CV$38,"Tentative")+SUMIFS('Status of Curriculum Completion'!$DM$4:$DM$38,'Status of Curriculum Completion'!$DC$4:$DC$38,"Geo WE",'Status of Curriculum Completion'!$DI$4:$DI$38,"Tentative")</f>
        <v>0</v>
      </c>
      <c r="AH19" s="62">
        <f>SUMIFS('Status of Curriculum Completion'!$DZ$4:$DZ$38,'Status of Curriculum Completion'!$DP$4:$DP$38,"Geo WE",'Status of Curriculum Completion'!$DT$4:$DT$38,"Complete")+SUMIFS('Status of Curriculum Completion'!$EM$4:$EM$38,'Status of Curriculum Completion'!$EC$4:$EC$38,"Geo WE",'Status of Curriculum Completion'!$EG$4:$EG$38,"Complete")+SUMIFS('Status of Curriculum Completion'!$EZ$4:$EZ$38,'Status of Curriculum Completion'!$EP$4:$EP$38,"Geo WE",'Status of Curriculum Completion'!$ET$4:$ET$38,"Complete")</f>
        <v>81</v>
      </c>
      <c r="AI19" s="62">
        <f>SUMIFS('Status of Curriculum Completion'!$DZ$4:$DZ$38,'Status of Curriculum Completion'!$DP$4:$DP$38,"Geo WE",'Status of Curriculum Completion'!$DT$4:$DT$38,"In Progress")+SUMIFS('Status of Curriculum Completion'!$EM$4:$EM$38,'Status of Curriculum Completion'!$EC$4:$EC$38,"Geo WE",'Status of Curriculum Completion'!$EG$4:$EG$38,"In Progress")+SUMIFS('Status of Curriculum Completion'!$EZ$4:$EZ$38,'Status of Curriculum Completion'!$EP$4:$EP$38,"Geo WE",'Status of Curriculum Completion'!$ET$4:$ET$38,"In Progress")</f>
        <v>0</v>
      </c>
      <c r="AJ19" s="62">
        <f>SUMIFS('Status of Curriculum Completion'!$DZ$4:$DZ$38,'Status of Curriculum Completion'!$DP$4:$DP$38,"Geo WE",'Status of Curriculum Completion'!$DT$4:$DT$38,"Planned")+SUMIFS('Status of Curriculum Completion'!$EM$4:$EM$38,'Status of Curriculum Completion'!$EC$4:$EC$38,"Geo WE",'Status of Curriculum Completion'!$EG$4:$EG$38,"Planned")+SUMIFS('Status of Curriculum Completion'!$EZ$4:$EZ$38,'Status of Curriculum Completion'!$EP$4:$EP$38,"Geo WE",'Status of Curriculum Completion'!$ET$4:$ET$38,"Planned")</f>
        <v>0</v>
      </c>
      <c r="AK19" s="62">
        <f>SUMIFS('Status of Curriculum Completion'!$DZ$4:$DZ$38,'Status of Curriculum Completion'!$DP$4:$DP$38,"Geo WE",'Status of Curriculum Completion'!$DT$4:$DT$38,"Tentative")+SUMIFS('Status of Curriculum Completion'!$EM$4:$EM$38,'Status of Curriculum Completion'!$EC$4:$EC$38,"Geo WE",'Status of Curriculum Completion'!$EG$4:$EG$38,"Tentative")+SUMIFS('Status of Curriculum Completion'!$EZ$4:$EZ$38,'Status of Curriculum Completion'!$EP$4:$EP$38,"Geo WE",'Status of Curriculum Completion'!$ET$4:$ET$38,"Tentative")</f>
        <v>0</v>
      </c>
      <c r="AL19" s="62">
        <f>SUMIFS('Status of Curriculum Completion'!$DZ$4:$DZ$38,'Status of Curriculum Completion'!$DP$4:$DP$38,"Geo WE",'Status of Curriculum Completion'!$DU$4:$DU$38,"Complete")+SUMIFS('Status of Curriculum Completion'!$EM$4:$EM$38,'Status of Curriculum Completion'!$EC$4:$EC$38,"Geo WE",'Status of Curriculum Completion'!$EH$4:$EH$38,"Complete")+SUMIFS('Status of Curriculum Completion'!$EZ$4:$EZ$38,'Status of Curriculum Completion'!$EP$4:$EP$38,"Geo WE",'Status of Curriculum Completion'!$EU$4:$EU$38,"Complete")</f>
        <v>81</v>
      </c>
      <c r="AM19" s="62">
        <f>SUMIFS('Status of Curriculum Completion'!$DZ$4:$DZ$38,'Status of Curriculum Completion'!$DP$4:$DP$38,"Geo WE",'Status of Curriculum Completion'!$DU$4:$DU$38,"In Progress")+SUMIFS('Status of Curriculum Completion'!$EM$4:$EM$38,'Status of Curriculum Completion'!$EC$4:$EC$38,"Geo WE",'Status of Curriculum Completion'!$EH$4:$EH$38,"In Progress")+SUMIFS('Status of Curriculum Completion'!$EZ$4:$EZ$38,'Status of Curriculum Completion'!$EP$4:$EP$38,"Geo WE",'Status of Curriculum Completion'!$EU$4:$EU$38,"In Progress")</f>
        <v>0</v>
      </c>
      <c r="AN19" s="62">
        <f>SUMIFS('Status of Curriculum Completion'!$DZ$4:$DZ$38,'Status of Curriculum Completion'!$DP$4:$DP$38,"Geo WE",'Status of Curriculum Completion'!$DU$4:$DU$38,"Planned")+SUMIFS('Status of Curriculum Completion'!$EM$4:$EM$38,'Status of Curriculum Completion'!$EC$4:$EC$38,"Geo WE",'Status of Curriculum Completion'!$EH$4:$EH$38,"Planned")+SUMIFS('Status of Curriculum Completion'!$EZ$4:$EZ$38,'Status of Curriculum Completion'!$EP$4:$EP$38,"Geo WE",'Status of Curriculum Completion'!$EU$4:$EU$38,"Planned")</f>
        <v>0</v>
      </c>
      <c r="AO19" s="62">
        <f>SUMIFS('Status of Curriculum Completion'!$DZ$4:$DZ$38,'Status of Curriculum Completion'!$DP$4:$DP$38,"Geo WE",'Status of Curriculum Completion'!$DU$4:$DU$38,"Tentative")+SUMIFS('Status of Curriculum Completion'!$EM$4:$EM$38,'Status of Curriculum Completion'!$EC$4:$EC$38,"Geo WE",'Status of Curriculum Completion'!$EH$4:$EH$38,"Tentative")+SUMIFS('Status of Curriculum Completion'!$EZ$4:$EZ$38,'Status of Curriculum Completion'!$EP$4:$EP$38,"Geo WE",'Status of Curriculum Completion'!$EU$4:$EU$38,"Tentative")</f>
        <v>0</v>
      </c>
      <c r="AP19" s="62">
        <f>SUMIFS('Status of Curriculum Completion'!$DZ$4:$DZ$38,'Status of Curriculum Completion'!$DP$4:$DP$38,"Geo WE",'Status of Curriculum Completion'!$DV$4:$DV$38,"Complete")+SUMIFS('Status of Curriculum Completion'!$EM$4:$EM$38,'Status of Curriculum Completion'!$EC$4:$EC$38,"Geo WE",'Status of Curriculum Completion'!$EI$4:$EI$38,"Complete")+SUMIFS('Status of Curriculum Completion'!$EZ$4:$EZ$38,'Status of Curriculum Completion'!$EP$4:$EP$38,"Geo WE",'Status of Curriculum Completion'!$EV$4:$EV$38,"Complete")</f>
        <v>0</v>
      </c>
      <c r="AQ19" s="62">
        <f>SUMIFS('Status of Curriculum Completion'!$DZ$4:$DZ$38,'Status of Curriculum Completion'!$DP$4:$DP$38,"Geo WE",'Status of Curriculum Completion'!$DV$4:$DV$38,"In Progress")+SUMIFS('Status of Curriculum Completion'!$EM$4:$EM$38,'Status of Curriculum Completion'!$EC$4:$EC$38,"Geo WE",'Status of Curriculum Completion'!$EI$4:$EI$38,"In Progress")+SUMIFS('Status of Curriculum Completion'!$EZ$4:$EZ$38,'Status of Curriculum Completion'!$EP$4:$EP$38,"Geo WE",'Status of Curriculum Completion'!$EV$4:$EV$38,"In Progress")</f>
        <v>0</v>
      </c>
      <c r="AR19" s="62">
        <f>SUMIFS('Status of Curriculum Completion'!$DZ$4:$DZ$38,'Status of Curriculum Completion'!$DP$4:$DP$38,"Geo WE",'Status of Curriculum Completion'!$DV$4:$DV$38,"Planned")+SUMIFS('Status of Curriculum Completion'!$EM$4:$EM$38,'Status of Curriculum Completion'!$EC$4:$EC$38,"Geo WE",'Status of Curriculum Completion'!$EI$4:$EI$38,"Planned")+SUMIFS('Status of Curriculum Completion'!$EZ$4:$EZ$38,'Status of Curriculum Completion'!$EP$4:$EP$38,"Geo WE",'Status of Curriculum Completion'!$EV$4:$EV$38,"Planned")</f>
        <v>81</v>
      </c>
      <c r="AS19" s="62">
        <f>SUMIFS('Status of Curriculum Completion'!$DZ$4:$DZ$38,'Status of Curriculum Completion'!$DP$4:$DP$38,"Geo WE",'Status of Curriculum Completion'!$DV$4:$DV$38,"Tentative")+SUMIFS('Status of Curriculum Completion'!$EM$4:$EM$38,'Status of Curriculum Completion'!$EC$4:$EC$38,"Geo WE",'Status of Curriculum Completion'!$EI$4:$EI$38,"Tentative")+SUMIFS('Status of Curriculum Completion'!$EZ$4:$EZ$38,'Status of Curriculum Completion'!$EP$4:$EP$38,"Geo WE",'Status of Curriculum Completion'!$EV$4:$EV$38,"Tentative")</f>
        <v>0</v>
      </c>
    </row>
  </sheetData>
  <mergeCells count="20">
    <mergeCell ref="A1:S1"/>
    <mergeCell ref="H3:J3"/>
    <mergeCell ref="A2:A4"/>
    <mergeCell ref="B2:J2"/>
    <mergeCell ref="K2:S2"/>
    <mergeCell ref="B3:D3"/>
    <mergeCell ref="E3:G3"/>
    <mergeCell ref="K3:M3"/>
    <mergeCell ref="N3:P3"/>
    <mergeCell ref="Q3:S3"/>
    <mergeCell ref="U1:AS1"/>
    <mergeCell ref="AH3:AK3"/>
    <mergeCell ref="AL3:AO3"/>
    <mergeCell ref="AP3:AS3"/>
    <mergeCell ref="V2:AG2"/>
    <mergeCell ref="U2:U4"/>
    <mergeCell ref="AH2:AS2"/>
    <mergeCell ref="V3:Y3"/>
    <mergeCell ref="Z3:AC3"/>
    <mergeCell ref="AD3:AG3"/>
  </mergeCells>
  <phoneticPr fontId="2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7160-D36E-4CF1-8AFF-D615DABD0BCF}">
  <sheetPr codeName="Sheet7"/>
  <dimension ref="A1:M3"/>
  <sheetViews>
    <sheetView zoomScale="80" zoomScaleNormal="80" workbookViewId="0">
      <selection activeCell="A4" sqref="A4"/>
    </sheetView>
  </sheetViews>
  <sheetFormatPr defaultColWidth="8.453125" defaultRowHeight="15.5"/>
  <cols>
    <col min="1" max="1" width="11.453125" style="88" customWidth="1"/>
    <col min="2" max="16384" width="8.453125" style="88"/>
  </cols>
  <sheetData>
    <row r="1" spans="1:13" ht="31">
      <c r="A1" s="83" t="s">
        <v>1642</v>
      </c>
      <c r="B1" s="84" t="s">
        <v>1643</v>
      </c>
      <c r="C1" s="84" t="s">
        <v>1644</v>
      </c>
      <c r="D1" s="84" t="s">
        <v>1645</v>
      </c>
      <c r="E1" s="85" t="s">
        <v>1646</v>
      </c>
      <c r="F1" s="85" t="s">
        <v>813</v>
      </c>
      <c r="G1" s="85" t="s">
        <v>1647</v>
      </c>
      <c r="H1" s="86" t="s">
        <v>1648</v>
      </c>
      <c r="I1" s="86" t="s">
        <v>1216</v>
      </c>
      <c r="J1" s="86" t="s">
        <v>1220</v>
      </c>
      <c r="K1" s="87" t="s">
        <v>1225</v>
      </c>
      <c r="L1" s="87" t="s">
        <v>1649</v>
      </c>
      <c r="M1" s="87" t="s">
        <v>1650</v>
      </c>
    </row>
    <row r="2" spans="1:13" ht="108">
      <c r="A2" s="89">
        <v>2020</v>
      </c>
      <c r="B2" s="91"/>
      <c r="C2" s="91"/>
      <c r="D2" s="91"/>
      <c r="E2" s="92" t="s">
        <v>1651</v>
      </c>
      <c r="F2" s="92"/>
      <c r="G2" s="92"/>
      <c r="H2" s="93"/>
      <c r="I2" s="93"/>
      <c r="J2" s="93"/>
      <c r="K2" s="94"/>
      <c r="L2" s="94"/>
      <c r="M2" s="94"/>
    </row>
    <row r="3" spans="1:13" ht="143.25" customHeight="1">
      <c r="A3" s="90">
        <v>2021</v>
      </c>
      <c r="B3" s="91"/>
      <c r="C3" s="91"/>
      <c r="D3" s="91" t="s">
        <v>1652</v>
      </c>
      <c r="E3" s="92" t="s">
        <v>1653</v>
      </c>
      <c r="F3" s="92" t="s">
        <v>1654</v>
      </c>
      <c r="G3" s="92" t="s">
        <v>1655</v>
      </c>
      <c r="H3" s="93"/>
      <c r="I3" s="93"/>
      <c r="J3" s="93"/>
      <c r="K3" s="94"/>
      <c r="L3" s="94"/>
      <c r="M3" s="9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BEB67-9D5C-4621-9B86-A8D6DB93E9BF}">
  <sheetPr codeName="Sheet9"/>
  <dimension ref="A1:AU46"/>
  <sheetViews>
    <sheetView zoomScale="80" zoomScaleNormal="80" workbookViewId="0">
      <pane xSplit="2" ySplit="3" topLeftCell="C4" activePane="bottomRight" state="frozen"/>
      <selection pane="topRight" activeCell="C1" sqref="C1"/>
      <selection pane="bottomLeft" activeCell="A4" sqref="A4"/>
      <selection pane="bottomRight" activeCell="F28" sqref="F28:F30"/>
    </sheetView>
  </sheetViews>
  <sheetFormatPr defaultColWidth="8.453125" defaultRowHeight="14.5"/>
  <cols>
    <col min="1" max="1" width="22.453125" style="98" bestFit="1" customWidth="1"/>
    <col min="2" max="2" width="14.453125" style="98" bestFit="1" customWidth="1"/>
    <col min="3" max="5" width="8.453125" style="12"/>
    <col min="6" max="7" width="13.453125" style="12" customWidth="1"/>
    <col min="8" max="10" width="8.453125" style="81"/>
    <col min="11" max="12" width="13.453125" style="12" customWidth="1"/>
    <col min="13" max="15" width="8.453125" style="12"/>
    <col min="16" max="17" width="13.453125" style="12" customWidth="1"/>
    <col min="18" max="20" width="8.453125" style="81"/>
    <col min="21" max="22" width="13.453125" style="12" customWidth="1"/>
    <col min="23" max="25" width="8.453125" style="12"/>
    <col min="26" max="27" width="13.453125" style="12" customWidth="1"/>
    <col min="28" max="30" width="8.453125" style="81"/>
    <col min="31" max="32" width="13.453125" style="12" customWidth="1"/>
    <col min="33" max="35" width="8.453125" style="12"/>
    <col min="36" max="37" width="13.453125" style="12" customWidth="1"/>
    <col min="38" max="40" width="8.453125" style="81"/>
    <col min="41" max="42" width="13.453125" style="12" customWidth="1"/>
    <col min="43" max="43" width="20.453125" style="12" bestFit="1" customWidth="1"/>
    <col min="44" max="44" width="16" style="12" bestFit="1" customWidth="1"/>
    <col min="45" max="45" width="24.453125" style="12" customWidth="1"/>
    <col min="46" max="46" width="27.453125" style="12" customWidth="1"/>
    <col min="47" max="47" width="25.453125" style="12" customWidth="1"/>
    <col min="48" max="16384" width="8.453125" style="12"/>
  </cols>
  <sheetData>
    <row r="1" spans="1:47" ht="99.75" customHeight="1">
      <c r="A1" s="589" t="s">
        <v>1656</v>
      </c>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1"/>
    </row>
    <row r="2" spans="1:47" s="98" customFormat="1" ht="44.25" customHeight="1">
      <c r="A2" s="486"/>
      <c r="B2" s="486"/>
      <c r="C2" s="588" t="s">
        <v>1657</v>
      </c>
      <c r="D2" s="588"/>
      <c r="E2" s="588"/>
      <c r="F2" s="588" t="s">
        <v>1658</v>
      </c>
      <c r="G2" s="588" t="s">
        <v>1659</v>
      </c>
      <c r="H2" s="592" t="s">
        <v>1660</v>
      </c>
      <c r="I2" s="592"/>
      <c r="J2" s="592"/>
      <c r="K2" s="588" t="s">
        <v>1661</v>
      </c>
      <c r="L2" s="588" t="s">
        <v>1662</v>
      </c>
      <c r="M2" s="588" t="s">
        <v>1663</v>
      </c>
      <c r="N2" s="588"/>
      <c r="O2" s="588"/>
      <c r="P2" s="588" t="s">
        <v>1664</v>
      </c>
      <c r="Q2" s="588" t="s">
        <v>1665</v>
      </c>
      <c r="R2" s="592" t="s">
        <v>1666</v>
      </c>
      <c r="S2" s="592"/>
      <c r="T2" s="592"/>
      <c r="U2" s="588" t="s">
        <v>1667</v>
      </c>
      <c r="V2" s="588" t="s">
        <v>1668</v>
      </c>
      <c r="W2" s="588" t="s">
        <v>1669</v>
      </c>
      <c r="X2" s="588"/>
      <c r="Y2" s="588"/>
      <c r="Z2" s="588" t="s">
        <v>1670</v>
      </c>
      <c r="AA2" s="588" t="s">
        <v>1671</v>
      </c>
      <c r="AB2" s="592" t="s">
        <v>1672</v>
      </c>
      <c r="AC2" s="592"/>
      <c r="AD2" s="592"/>
      <c r="AE2" s="588" t="s">
        <v>1673</v>
      </c>
      <c r="AF2" s="588" t="s">
        <v>1674</v>
      </c>
      <c r="AG2" s="588" t="s">
        <v>1675</v>
      </c>
      <c r="AH2" s="588"/>
      <c r="AI2" s="588"/>
      <c r="AJ2" s="588" t="s">
        <v>1676</v>
      </c>
      <c r="AK2" s="588" t="s">
        <v>1677</v>
      </c>
      <c r="AL2" s="592" t="s">
        <v>1678</v>
      </c>
      <c r="AM2" s="592"/>
      <c r="AN2" s="592"/>
      <c r="AO2" s="588" t="s">
        <v>1679</v>
      </c>
      <c r="AP2" s="588" t="s">
        <v>1680</v>
      </c>
      <c r="AQ2" s="588" t="s">
        <v>1681</v>
      </c>
      <c r="AR2" s="588" t="s">
        <v>1682</v>
      </c>
      <c r="AS2" s="588" t="s">
        <v>1683</v>
      </c>
      <c r="AT2" s="486" t="s">
        <v>43</v>
      </c>
      <c r="AU2" s="486" t="s">
        <v>1684</v>
      </c>
    </row>
    <row r="3" spans="1:47" s="98" customFormat="1">
      <c r="A3" s="486" t="s">
        <v>1291</v>
      </c>
      <c r="B3" s="486" t="s">
        <v>1685</v>
      </c>
      <c r="C3" s="486" t="s">
        <v>1643</v>
      </c>
      <c r="D3" s="486" t="s">
        <v>1644</v>
      </c>
      <c r="E3" s="486" t="s">
        <v>1645</v>
      </c>
      <c r="F3" s="588"/>
      <c r="G3" s="588"/>
      <c r="H3" s="487" t="s">
        <v>1643</v>
      </c>
      <c r="I3" s="487" t="s">
        <v>1644</v>
      </c>
      <c r="J3" s="487" t="s">
        <v>1645</v>
      </c>
      <c r="K3" s="588"/>
      <c r="L3" s="588"/>
      <c r="M3" s="486" t="s">
        <v>1646</v>
      </c>
      <c r="N3" s="486" t="s">
        <v>813</v>
      </c>
      <c r="O3" s="486" t="s">
        <v>1647</v>
      </c>
      <c r="P3" s="588"/>
      <c r="Q3" s="588"/>
      <c r="R3" s="487" t="s">
        <v>1646</v>
      </c>
      <c r="S3" s="487" t="s">
        <v>813</v>
      </c>
      <c r="T3" s="487" t="s">
        <v>1647</v>
      </c>
      <c r="U3" s="588"/>
      <c r="V3" s="588"/>
      <c r="W3" s="486" t="s">
        <v>1648</v>
      </c>
      <c r="X3" s="486" t="s">
        <v>1216</v>
      </c>
      <c r="Y3" s="486" t="s">
        <v>1220</v>
      </c>
      <c r="Z3" s="588"/>
      <c r="AA3" s="588"/>
      <c r="AB3" s="487" t="s">
        <v>1648</v>
      </c>
      <c r="AC3" s="487" t="s">
        <v>1216</v>
      </c>
      <c r="AD3" s="487" t="s">
        <v>1220</v>
      </c>
      <c r="AE3" s="588"/>
      <c r="AF3" s="588"/>
      <c r="AG3" s="486" t="s">
        <v>1225</v>
      </c>
      <c r="AH3" s="486" t="s">
        <v>1649</v>
      </c>
      <c r="AI3" s="486" t="s">
        <v>1650</v>
      </c>
      <c r="AJ3" s="588"/>
      <c r="AK3" s="588"/>
      <c r="AL3" s="487" t="s">
        <v>1225</v>
      </c>
      <c r="AM3" s="487" t="s">
        <v>1649</v>
      </c>
      <c r="AN3" s="487" t="s">
        <v>1650</v>
      </c>
      <c r="AO3" s="588"/>
      <c r="AP3" s="588"/>
      <c r="AQ3" s="588"/>
      <c r="AR3" s="588"/>
      <c r="AS3" s="588"/>
      <c r="AT3" s="486"/>
      <c r="AU3" s="486"/>
    </row>
    <row r="4" spans="1:47" ht="87">
      <c r="A4" s="588" t="s">
        <v>1398</v>
      </c>
      <c r="B4" s="486" t="s">
        <v>1686</v>
      </c>
      <c r="C4" s="485">
        <v>7</v>
      </c>
      <c r="D4" s="485">
        <v>0</v>
      </c>
      <c r="E4" s="485">
        <v>0</v>
      </c>
      <c r="F4" s="587">
        <v>7</v>
      </c>
      <c r="G4" s="587">
        <v>5</v>
      </c>
      <c r="H4" s="81">
        <v>7</v>
      </c>
      <c r="K4" s="587"/>
      <c r="L4" s="587"/>
      <c r="M4" s="485">
        <v>0</v>
      </c>
      <c r="N4" s="485">
        <f>59+16</f>
        <v>75</v>
      </c>
      <c r="O4" s="485">
        <v>5</v>
      </c>
      <c r="P4" s="587">
        <f>SUM(M4:O4,M7:O7)</f>
        <v>80</v>
      </c>
      <c r="Q4" s="587">
        <f>SUM(M5:O6,M8:O9)</f>
        <v>0</v>
      </c>
      <c r="S4" s="81">
        <f>59+16</f>
        <v>75</v>
      </c>
      <c r="T4" s="81">
        <v>6</v>
      </c>
      <c r="U4" s="587"/>
      <c r="V4" s="587"/>
      <c r="W4" s="485">
        <v>0</v>
      </c>
      <c r="X4" s="485">
        <v>0</v>
      </c>
      <c r="Y4" s="485">
        <v>15</v>
      </c>
      <c r="Z4" s="587">
        <f>SUM(W4:Y4,W7:Y7)</f>
        <v>15</v>
      </c>
      <c r="AA4" s="587">
        <f>SUM(W5:Y6,W8:Y9)</f>
        <v>8</v>
      </c>
      <c r="AE4" s="587"/>
      <c r="AF4" s="587"/>
      <c r="AG4" s="485">
        <v>0</v>
      </c>
      <c r="AH4" s="485">
        <v>0</v>
      </c>
      <c r="AI4" s="485">
        <v>0</v>
      </c>
      <c r="AJ4" s="587">
        <f>SUM(AG4:AI4,AG7:AI7)</f>
        <v>0</v>
      </c>
      <c r="AK4" s="587">
        <f>SUM(AG5:AI6,AG8:AI9)</f>
        <v>0</v>
      </c>
      <c r="AO4" s="587"/>
      <c r="AP4" s="587"/>
      <c r="AQ4" s="485">
        <f t="shared" ref="AQ4:AQ9" si="0">SUM(C4:E4,M4:O4,W4:Y4,AG4:AI4)</f>
        <v>102</v>
      </c>
      <c r="AR4" s="587">
        <f>SUM(AQ4:AQ6)</f>
        <v>115</v>
      </c>
      <c r="AS4" s="485" t="s">
        <v>1687</v>
      </c>
      <c r="AT4" s="485" t="s">
        <v>1688</v>
      </c>
      <c r="AU4" s="587" t="s">
        <v>1689</v>
      </c>
    </row>
    <row r="5" spans="1:47" ht="15" customHeight="1">
      <c r="A5" s="588"/>
      <c r="B5" s="486" t="s">
        <v>1690</v>
      </c>
      <c r="C5" s="485">
        <v>5</v>
      </c>
      <c r="D5" s="485">
        <v>0</v>
      </c>
      <c r="E5" s="485">
        <v>0</v>
      </c>
      <c r="F5" s="587"/>
      <c r="G5" s="587"/>
      <c r="H5" s="81">
        <v>5</v>
      </c>
      <c r="K5" s="587"/>
      <c r="L5" s="587"/>
      <c r="M5" s="485">
        <v>0</v>
      </c>
      <c r="N5" s="485">
        <v>0</v>
      </c>
      <c r="O5" s="485">
        <v>0</v>
      </c>
      <c r="P5" s="587"/>
      <c r="Q5" s="587"/>
      <c r="U5" s="587"/>
      <c r="V5" s="587"/>
      <c r="W5" s="485">
        <v>8</v>
      </c>
      <c r="X5" s="485">
        <v>0</v>
      </c>
      <c r="Y5" s="485">
        <v>0</v>
      </c>
      <c r="Z5" s="587"/>
      <c r="AA5" s="587"/>
      <c r="AB5" s="81">
        <v>8</v>
      </c>
      <c r="AE5" s="587"/>
      <c r="AF5" s="587"/>
      <c r="AG5" s="485">
        <v>0</v>
      </c>
      <c r="AH5" s="485">
        <v>0</v>
      </c>
      <c r="AI5" s="485">
        <v>0</v>
      </c>
      <c r="AJ5" s="587"/>
      <c r="AK5" s="587"/>
      <c r="AO5" s="587"/>
      <c r="AP5" s="587"/>
      <c r="AQ5" s="485">
        <f t="shared" si="0"/>
        <v>13</v>
      </c>
      <c r="AR5" s="587"/>
      <c r="AS5" s="485" t="s">
        <v>383</v>
      </c>
      <c r="AT5" s="485"/>
      <c r="AU5" s="587"/>
    </row>
    <row r="6" spans="1:47" ht="15" customHeight="1">
      <c r="A6" s="588"/>
      <c r="B6" s="486" t="s">
        <v>1691</v>
      </c>
      <c r="C6" s="485">
        <v>0</v>
      </c>
      <c r="D6" s="485">
        <v>0</v>
      </c>
      <c r="E6" s="485">
        <v>0</v>
      </c>
      <c r="F6" s="587"/>
      <c r="G6" s="587"/>
      <c r="K6" s="587"/>
      <c r="L6" s="587"/>
      <c r="M6" s="485">
        <v>0</v>
      </c>
      <c r="N6" s="485">
        <v>0</v>
      </c>
      <c r="O6" s="485">
        <v>0</v>
      </c>
      <c r="P6" s="587"/>
      <c r="Q6" s="587"/>
      <c r="U6" s="587"/>
      <c r="V6" s="587"/>
      <c r="W6" s="485">
        <v>0</v>
      </c>
      <c r="X6" s="485">
        <v>0</v>
      </c>
      <c r="Y6" s="485">
        <v>0</v>
      </c>
      <c r="Z6" s="587"/>
      <c r="AA6" s="587"/>
      <c r="AE6" s="587"/>
      <c r="AF6" s="587"/>
      <c r="AG6" s="485">
        <v>0</v>
      </c>
      <c r="AH6" s="485">
        <v>0</v>
      </c>
      <c r="AI6" s="485">
        <v>0</v>
      </c>
      <c r="AJ6" s="587"/>
      <c r="AK6" s="587"/>
      <c r="AO6" s="587"/>
      <c r="AP6" s="587"/>
      <c r="AQ6" s="485">
        <f t="shared" si="0"/>
        <v>0</v>
      </c>
      <c r="AR6" s="587"/>
      <c r="AS6" s="485" t="s">
        <v>383</v>
      </c>
      <c r="AT6" s="485"/>
      <c r="AU6" s="587"/>
    </row>
    <row r="7" spans="1:47">
      <c r="A7" s="588" t="s">
        <v>918</v>
      </c>
      <c r="B7" s="486" t="s">
        <v>1686</v>
      </c>
      <c r="C7" s="485">
        <v>0</v>
      </c>
      <c r="D7" s="485">
        <v>0</v>
      </c>
      <c r="E7" s="485">
        <v>0</v>
      </c>
      <c r="F7" s="587"/>
      <c r="G7" s="587"/>
      <c r="K7" s="587"/>
      <c r="L7" s="587"/>
      <c r="M7" s="485">
        <v>0</v>
      </c>
      <c r="N7" s="485">
        <v>0</v>
      </c>
      <c r="O7" s="485">
        <v>0</v>
      </c>
      <c r="P7" s="587"/>
      <c r="Q7" s="587"/>
      <c r="U7" s="587"/>
      <c r="V7" s="587"/>
      <c r="W7" s="485">
        <v>0</v>
      </c>
      <c r="X7" s="485">
        <v>0</v>
      </c>
      <c r="Y7" s="485">
        <v>0</v>
      </c>
      <c r="Z7" s="587"/>
      <c r="AA7" s="587"/>
      <c r="AE7" s="587"/>
      <c r="AF7" s="587"/>
      <c r="AG7" s="485">
        <v>0</v>
      </c>
      <c r="AH7" s="485">
        <v>0</v>
      </c>
      <c r="AI7" s="485">
        <v>0</v>
      </c>
      <c r="AJ7" s="587"/>
      <c r="AK7" s="587"/>
      <c r="AO7" s="587"/>
      <c r="AP7" s="587"/>
      <c r="AQ7" s="485">
        <f t="shared" si="0"/>
        <v>0</v>
      </c>
      <c r="AR7" s="587">
        <f>SUM(AQ7:AQ9)</f>
        <v>0</v>
      </c>
      <c r="AS7" s="485" t="s">
        <v>1692</v>
      </c>
      <c r="AT7" s="485"/>
      <c r="AU7" s="587"/>
    </row>
    <row r="8" spans="1:47" ht="15" customHeight="1">
      <c r="A8" s="588"/>
      <c r="B8" s="486" t="s">
        <v>1690</v>
      </c>
      <c r="C8" s="485">
        <v>0</v>
      </c>
      <c r="D8" s="485">
        <v>0</v>
      </c>
      <c r="E8" s="485">
        <v>0</v>
      </c>
      <c r="F8" s="587"/>
      <c r="G8" s="587"/>
      <c r="K8" s="587"/>
      <c r="L8" s="587"/>
      <c r="M8" s="485">
        <v>0</v>
      </c>
      <c r="N8" s="485">
        <v>0</v>
      </c>
      <c r="O8" s="485">
        <v>0</v>
      </c>
      <c r="P8" s="587"/>
      <c r="Q8" s="587"/>
      <c r="U8" s="587"/>
      <c r="V8" s="587"/>
      <c r="W8" s="485">
        <v>0</v>
      </c>
      <c r="X8" s="485">
        <v>0</v>
      </c>
      <c r="Y8" s="485">
        <v>0</v>
      </c>
      <c r="Z8" s="587"/>
      <c r="AA8" s="587"/>
      <c r="AE8" s="587"/>
      <c r="AF8" s="587"/>
      <c r="AG8" s="485">
        <v>0</v>
      </c>
      <c r="AH8" s="485">
        <v>0</v>
      </c>
      <c r="AI8" s="485">
        <v>0</v>
      </c>
      <c r="AJ8" s="587"/>
      <c r="AK8" s="587"/>
      <c r="AO8" s="587"/>
      <c r="AP8" s="587"/>
      <c r="AQ8" s="485">
        <f t="shared" si="0"/>
        <v>0</v>
      </c>
      <c r="AR8" s="587"/>
      <c r="AS8" s="485" t="s">
        <v>383</v>
      </c>
      <c r="AT8" s="485"/>
      <c r="AU8" s="587"/>
    </row>
    <row r="9" spans="1:47" ht="15" customHeight="1">
      <c r="A9" s="588"/>
      <c r="B9" s="486" t="s">
        <v>1691</v>
      </c>
      <c r="C9" s="485">
        <v>0</v>
      </c>
      <c r="D9" s="485">
        <v>0</v>
      </c>
      <c r="E9" s="485">
        <v>0</v>
      </c>
      <c r="F9" s="587"/>
      <c r="G9" s="587"/>
      <c r="K9" s="587"/>
      <c r="L9" s="587"/>
      <c r="M9" s="485">
        <v>0</v>
      </c>
      <c r="N9" s="485">
        <v>0</v>
      </c>
      <c r="O9" s="485">
        <v>0</v>
      </c>
      <c r="P9" s="587"/>
      <c r="Q9" s="587"/>
      <c r="U9" s="587"/>
      <c r="V9" s="587"/>
      <c r="W9" s="485">
        <v>0</v>
      </c>
      <c r="X9" s="485">
        <v>0</v>
      </c>
      <c r="Y9" s="485">
        <v>0</v>
      </c>
      <c r="Z9" s="587"/>
      <c r="AA9" s="587"/>
      <c r="AE9" s="587"/>
      <c r="AF9" s="587"/>
      <c r="AG9" s="485">
        <v>0</v>
      </c>
      <c r="AH9" s="485">
        <v>0</v>
      </c>
      <c r="AI9" s="485">
        <v>0</v>
      </c>
      <c r="AJ9" s="587"/>
      <c r="AK9" s="587"/>
      <c r="AO9" s="587"/>
      <c r="AP9" s="587"/>
      <c r="AQ9" s="485">
        <f t="shared" si="0"/>
        <v>0</v>
      </c>
      <c r="AR9" s="587"/>
      <c r="AS9" s="485" t="s">
        <v>383</v>
      </c>
      <c r="AT9" s="485"/>
      <c r="AU9" s="587"/>
    </row>
    <row r="10" spans="1:47" ht="43.5" customHeight="1">
      <c r="A10" s="588" t="s">
        <v>713</v>
      </c>
      <c r="B10" s="486" t="s">
        <v>1686</v>
      </c>
      <c r="C10" s="485"/>
      <c r="D10" s="485"/>
      <c r="E10" s="485"/>
      <c r="F10" s="587">
        <v>0</v>
      </c>
      <c r="G10" s="587">
        <v>298</v>
      </c>
      <c r="K10" s="587"/>
      <c r="L10" s="587"/>
      <c r="M10" s="485"/>
      <c r="N10" s="485"/>
      <c r="O10" s="485"/>
      <c r="P10" s="587">
        <v>0</v>
      </c>
      <c r="Q10" s="587">
        <v>311</v>
      </c>
      <c r="U10" s="587"/>
      <c r="V10" s="587"/>
      <c r="W10" s="485"/>
      <c r="X10" s="485"/>
      <c r="Y10" s="485"/>
      <c r="Z10" s="587">
        <v>0</v>
      </c>
      <c r="AA10" s="587">
        <v>324</v>
      </c>
      <c r="AE10" s="587"/>
      <c r="AF10" s="587"/>
      <c r="AG10" s="485"/>
      <c r="AH10" s="485"/>
      <c r="AI10" s="485"/>
      <c r="AJ10" s="587">
        <v>0</v>
      </c>
      <c r="AK10" s="587">
        <v>300</v>
      </c>
      <c r="AO10" s="587"/>
      <c r="AP10" s="587"/>
      <c r="AQ10" s="485">
        <v>0</v>
      </c>
      <c r="AR10" s="587">
        <f>SUM(AQ10:AQ12)</f>
        <v>1233</v>
      </c>
      <c r="AS10" s="485"/>
      <c r="AT10" s="485"/>
      <c r="AU10" s="587" t="s">
        <v>1693</v>
      </c>
    </row>
    <row r="11" spans="1:47">
      <c r="A11" s="588"/>
      <c r="B11" s="486" t="s">
        <v>1690</v>
      </c>
      <c r="C11" s="100">
        <v>60</v>
      </c>
      <c r="D11" s="100">
        <v>119</v>
      </c>
      <c r="E11" s="100">
        <v>119</v>
      </c>
      <c r="F11" s="587"/>
      <c r="G11" s="587"/>
      <c r="H11" s="100">
        <v>73</v>
      </c>
      <c r="I11" s="123">
        <v>94</v>
      </c>
      <c r="J11" s="123">
        <v>137</v>
      </c>
      <c r="K11" s="587"/>
      <c r="L11" s="587"/>
      <c r="M11" s="100">
        <v>62</v>
      </c>
      <c r="N11" s="100">
        <v>125</v>
      </c>
      <c r="O11" s="100">
        <v>125</v>
      </c>
      <c r="P11" s="587"/>
      <c r="Q11" s="587"/>
      <c r="R11" s="100">
        <v>82</v>
      </c>
      <c r="S11" s="123">
        <v>99</v>
      </c>
      <c r="T11" s="123">
        <v>136</v>
      </c>
      <c r="U11" s="587"/>
      <c r="V11" s="587"/>
      <c r="W11" s="100">
        <v>69</v>
      </c>
      <c r="X11" s="100">
        <v>130</v>
      </c>
      <c r="Y11" s="100">
        <v>130</v>
      </c>
      <c r="Z11" s="587"/>
      <c r="AA11" s="587"/>
      <c r="AB11" s="100">
        <v>69</v>
      </c>
      <c r="AC11" s="123">
        <v>130</v>
      </c>
      <c r="AD11" s="123">
        <v>130</v>
      </c>
      <c r="AE11" s="587"/>
      <c r="AF11" s="587"/>
      <c r="AG11" s="100">
        <v>60</v>
      </c>
      <c r="AH11" s="100">
        <v>120</v>
      </c>
      <c r="AI11" s="100">
        <v>120</v>
      </c>
      <c r="AJ11" s="587"/>
      <c r="AK11" s="587"/>
      <c r="AL11" s="99"/>
      <c r="AM11" s="99"/>
      <c r="AN11" s="99"/>
      <c r="AO11" s="587"/>
      <c r="AP11" s="587"/>
      <c r="AQ11" s="485">
        <v>1233</v>
      </c>
      <c r="AR11" s="587"/>
      <c r="AS11" s="485"/>
      <c r="AT11" s="485"/>
      <c r="AU11" s="587"/>
    </row>
    <row r="12" spans="1:47">
      <c r="A12" s="588"/>
      <c r="B12" s="486" t="s">
        <v>1691</v>
      </c>
      <c r="C12" s="485"/>
      <c r="D12" s="485"/>
      <c r="E12" s="485"/>
      <c r="F12" s="587"/>
      <c r="G12" s="587"/>
      <c r="K12" s="587"/>
      <c r="L12" s="587"/>
      <c r="M12" s="485"/>
      <c r="N12" s="485"/>
      <c r="O12" s="485"/>
      <c r="P12" s="587"/>
      <c r="Q12" s="587"/>
      <c r="U12" s="587"/>
      <c r="V12" s="587"/>
      <c r="W12" s="485"/>
      <c r="X12" s="485"/>
      <c r="Y12" s="485"/>
      <c r="Z12" s="587"/>
      <c r="AA12" s="587"/>
      <c r="AE12" s="587"/>
      <c r="AF12" s="587"/>
      <c r="AG12" s="485"/>
      <c r="AH12" s="485"/>
      <c r="AI12" s="485"/>
      <c r="AJ12" s="587"/>
      <c r="AK12" s="587"/>
      <c r="AO12" s="587"/>
      <c r="AP12" s="587"/>
      <c r="AQ12" s="485">
        <v>0</v>
      </c>
      <c r="AR12" s="587"/>
      <c r="AS12" s="485"/>
      <c r="AT12" s="485"/>
      <c r="AU12" s="587"/>
    </row>
    <row r="13" spans="1:47">
      <c r="A13" s="588" t="s">
        <v>1694</v>
      </c>
      <c r="B13" s="486" t="s">
        <v>1686</v>
      </c>
      <c r="C13" s="485"/>
      <c r="D13" s="485"/>
      <c r="E13" s="485"/>
      <c r="F13" s="587">
        <v>0</v>
      </c>
      <c r="G13" s="587">
        <v>0</v>
      </c>
      <c r="K13" s="587"/>
      <c r="L13" s="587"/>
      <c r="M13" s="485"/>
      <c r="N13" s="485"/>
      <c r="O13" s="485"/>
      <c r="P13" s="587">
        <v>0</v>
      </c>
      <c r="Q13" s="587">
        <v>0</v>
      </c>
      <c r="U13" s="587"/>
      <c r="V13" s="587"/>
      <c r="W13" s="485"/>
      <c r="X13" s="485"/>
      <c r="Y13" s="485"/>
      <c r="Z13" s="587">
        <v>0</v>
      </c>
      <c r="AA13" s="587">
        <v>0</v>
      </c>
      <c r="AE13" s="587"/>
      <c r="AF13" s="587"/>
      <c r="AG13" s="485"/>
      <c r="AH13" s="485"/>
      <c r="AI13" s="485"/>
      <c r="AJ13" s="587">
        <v>0</v>
      </c>
      <c r="AK13" s="587">
        <v>0</v>
      </c>
      <c r="AO13" s="587"/>
      <c r="AP13" s="587"/>
      <c r="AQ13" s="485">
        <v>0</v>
      </c>
      <c r="AR13" s="587">
        <f>SUM(AQ13:AQ15)</f>
        <v>0</v>
      </c>
      <c r="AS13" s="485"/>
      <c r="AT13" s="485"/>
      <c r="AU13" s="485"/>
    </row>
    <row r="14" spans="1:47">
      <c r="A14" s="588"/>
      <c r="B14" s="486" t="s">
        <v>1690</v>
      </c>
      <c r="C14" s="485"/>
      <c r="D14" s="485"/>
      <c r="E14" s="485"/>
      <c r="F14" s="587"/>
      <c r="G14" s="587"/>
      <c r="K14" s="587"/>
      <c r="L14" s="587"/>
      <c r="M14" s="485"/>
      <c r="N14" s="485"/>
      <c r="O14" s="485"/>
      <c r="P14" s="587"/>
      <c r="Q14" s="587"/>
      <c r="U14" s="587"/>
      <c r="V14" s="587"/>
      <c r="W14" s="485"/>
      <c r="X14" s="485"/>
      <c r="Y14" s="485"/>
      <c r="Z14" s="587"/>
      <c r="AA14" s="587"/>
      <c r="AE14" s="587"/>
      <c r="AF14" s="587"/>
      <c r="AG14" s="485"/>
      <c r="AH14" s="485"/>
      <c r="AI14" s="485"/>
      <c r="AJ14" s="587"/>
      <c r="AK14" s="587"/>
      <c r="AO14" s="587"/>
      <c r="AP14" s="587"/>
      <c r="AQ14" s="485">
        <v>0</v>
      </c>
      <c r="AR14" s="587"/>
      <c r="AS14" s="485"/>
      <c r="AT14" s="485"/>
      <c r="AU14" s="485"/>
    </row>
    <row r="15" spans="1:47">
      <c r="A15" s="588"/>
      <c r="B15" s="486" t="s">
        <v>1691</v>
      </c>
      <c r="C15" s="485"/>
      <c r="D15" s="485"/>
      <c r="E15" s="485"/>
      <c r="F15" s="587"/>
      <c r="G15" s="587"/>
      <c r="K15" s="587"/>
      <c r="L15" s="587"/>
      <c r="M15" s="485"/>
      <c r="N15" s="485"/>
      <c r="O15" s="485"/>
      <c r="P15" s="587"/>
      <c r="Q15" s="587"/>
      <c r="U15" s="587"/>
      <c r="V15" s="587"/>
      <c r="W15" s="485"/>
      <c r="X15" s="485"/>
      <c r="Y15" s="485"/>
      <c r="Z15" s="587"/>
      <c r="AA15" s="587"/>
      <c r="AE15" s="587"/>
      <c r="AF15" s="587"/>
      <c r="AG15" s="485"/>
      <c r="AH15" s="485"/>
      <c r="AI15" s="485"/>
      <c r="AJ15" s="587"/>
      <c r="AK15" s="587"/>
      <c r="AO15" s="587"/>
      <c r="AP15" s="587"/>
      <c r="AQ15" s="485">
        <v>0</v>
      </c>
      <c r="AR15" s="587"/>
      <c r="AS15" s="485"/>
      <c r="AT15" s="485"/>
      <c r="AU15" s="485"/>
    </row>
    <row r="16" spans="1:47">
      <c r="A16" s="588" t="s">
        <v>1135</v>
      </c>
      <c r="B16" s="486" t="s">
        <v>1686</v>
      </c>
      <c r="C16" s="485"/>
      <c r="D16" s="485"/>
      <c r="E16" s="485"/>
      <c r="F16" s="587">
        <v>83</v>
      </c>
      <c r="G16" s="587">
        <v>0</v>
      </c>
      <c r="K16" s="587"/>
      <c r="L16" s="587"/>
      <c r="M16" s="485"/>
      <c r="N16" s="485"/>
      <c r="O16" s="485"/>
      <c r="P16" s="587">
        <v>30</v>
      </c>
      <c r="Q16" s="587">
        <v>0</v>
      </c>
      <c r="U16" s="587"/>
      <c r="V16" s="587"/>
      <c r="W16" s="485"/>
      <c r="X16" s="485"/>
      <c r="Y16" s="485"/>
      <c r="Z16" s="587">
        <v>112</v>
      </c>
      <c r="AA16" s="587">
        <v>0</v>
      </c>
      <c r="AC16" s="81">
        <v>22</v>
      </c>
      <c r="AE16" s="587"/>
      <c r="AF16" s="587"/>
      <c r="AG16" s="485"/>
      <c r="AH16" s="485"/>
      <c r="AI16" s="485"/>
      <c r="AJ16" s="587">
        <v>0</v>
      </c>
      <c r="AK16" s="587">
        <v>0</v>
      </c>
      <c r="AO16" s="587"/>
      <c r="AP16" s="587"/>
      <c r="AQ16" s="485">
        <v>225</v>
      </c>
      <c r="AR16" s="587">
        <f>SUM(AQ16:AQ18)</f>
        <v>225</v>
      </c>
      <c r="AS16" s="485"/>
      <c r="AT16" s="485"/>
      <c r="AU16" s="485"/>
    </row>
    <row r="17" spans="1:47">
      <c r="A17" s="588"/>
      <c r="B17" s="486" t="s">
        <v>1690</v>
      </c>
      <c r="C17" s="485"/>
      <c r="D17" s="485"/>
      <c r="E17" s="485"/>
      <c r="F17" s="587"/>
      <c r="G17" s="587"/>
      <c r="K17" s="587"/>
      <c r="L17" s="587"/>
      <c r="M17" s="485"/>
      <c r="N17" s="485"/>
      <c r="O17" s="485"/>
      <c r="P17" s="587"/>
      <c r="Q17" s="587"/>
      <c r="U17" s="587"/>
      <c r="V17" s="587"/>
      <c r="W17" s="485"/>
      <c r="X17" s="485"/>
      <c r="Y17" s="485"/>
      <c r="Z17" s="587"/>
      <c r="AA17" s="587"/>
      <c r="AE17" s="587"/>
      <c r="AF17" s="587"/>
      <c r="AG17" s="485"/>
      <c r="AH17" s="485"/>
      <c r="AI17" s="485"/>
      <c r="AJ17" s="587"/>
      <c r="AK17" s="587"/>
      <c r="AO17" s="587"/>
      <c r="AP17" s="587"/>
      <c r="AQ17" s="485">
        <v>0</v>
      </c>
      <c r="AR17" s="587"/>
      <c r="AS17" s="485"/>
      <c r="AT17" s="485"/>
      <c r="AU17" s="485"/>
    </row>
    <row r="18" spans="1:47">
      <c r="A18" s="588"/>
      <c r="B18" s="486" t="s">
        <v>1691</v>
      </c>
      <c r="C18" s="485"/>
      <c r="D18" s="485"/>
      <c r="E18" s="485"/>
      <c r="F18" s="587"/>
      <c r="G18" s="587"/>
      <c r="K18" s="587"/>
      <c r="L18" s="587"/>
      <c r="M18" s="485"/>
      <c r="N18" s="485"/>
      <c r="O18" s="485"/>
      <c r="P18" s="587"/>
      <c r="Q18" s="587"/>
      <c r="U18" s="587"/>
      <c r="V18" s="587"/>
      <c r="W18" s="485"/>
      <c r="X18" s="485"/>
      <c r="Y18" s="485"/>
      <c r="Z18" s="587"/>
      <c r="AA18" s="587"/>
      <c r="AE18" s="587"/>
      <c r="AF18" s="587"/>
      <c r="AG18" s="485"/>
      <c r="AH18" s="485"/>
      <c r="AI18" s="485"/>
      <c r="AJ18" s="587"/>
      <c r="AK18" s="587"/>
      <c r="AO18" s="587"/>
      <c r="AP18" s="587"/>
      <c r="AQ18" s="485">
        <v>0</v>
      </c>
      <c r="AR18" s="587"/>
      <c r="AS18" s="485"/>
      <c r="AT18" s="485"/>
      <c r="AU18" s="485"/>
    </row>
    <row r="19" spans="1:47">
      <c r="A19" s="588" t="s">
        <v>1361</v>
      </c>
      <c r="B19" s="486" t="s">
        <v>1686</v>
      </c>
      <c r="C19" s="485"/>
      <c r="D19" s="485"/>
      <c r="E19" s="485"/>
      <c r="F19" s="587">
        <v>85</v>
      </c>
      <c r="G19" s="587">
        <v>122</v>
      </c>
      <c r="K19" s="587"/>
      <c r="L19" s="587"/>
      <c r="M19" s="485"/>
      <c r="N19" s="485"/>
      <c r="O19" s="485"/>
      <c r="P19" s="587">
        <v>173</v>
      </c>
      <c r="Q19" s="587">
        <v>23</v>
      </c>
      <c r="U19" s="587"/>
      <c r="V19" s="587"/>
      <c r="W19" s="485"/>
      <c r="X19" s="485"/>
      <c r="Y19" s="485"/>
      <c r="Z19" s="587">
        <v>164</v>
      </c>
      <c r="AA19" s="587">
        <v>117</v>
      </c>
      <c r="AE19" s="587"/>
      <c r="AF19" s="587"/>
      <c r="AG19" s="485"/>
      <c r="AH19" s="485"/>
      <c r="AI19" s="485"/>
      <c r="AJ19" s="587">
        <v>160</v>
      </c>
      <c r="AK19" s="587">
        <v>35</v>
      </c>
      <c r="AO19" s="587"/>
      <c r="AP19" s="587"/>
      <c r="AQ19" s="485">
        <v>0</v>
      </c>
      <c r="AR19" s="587">
        <f>SUM(AQ19:AQ21)</f>
        <v>164</v>
      </c>
      <c r="AS19" s="485"/>
      <c r="AT19" s="485"/>
      <c r="AU19" s="485"/>
    </row>
    <row r="20" spans="1:47" ht="130.5" customHeight="1">
      <c r="A20" s="588"/>
      <c r="B20" s="486" t="s">
        <v>1690</v>
      </c>
      <c r="C20" s="485"/>
      <c r="D20" s="485"/>
      <c r="E20" s="485"/>
      <c r="F20" s="587"/>
      <c r="G20" s="587"/>
      <c r="K20" s="587"/>
      <c r="L20" s="587"/>
      <c r="M20" s="485"/>
      <c r="N20" s="485"/>
      <c r="O20" s="485"/>
      <c r="P20" s="587"/>
      <c r="Q20" s="587"/>
      <c r="U20" s="587"/>
      <c r="V20" s="587"/>
      <c r="W20" s="485"/>
      <c r="X20" s="485"/>
      <c r="Y20" s="485"/>
      <c r="Z20" s="587"/>
      <c r="AA20" s="587"/>
      <c r="AE20" s="587"/>
      <c r="AF20" s="587"/>
      <c r="AG20" s="485"/>
      <c r="AH20" s="485"/>
      <c r="AI20" s="485"/>
      <c r="AJ20" s="587"/>
      <c r="AK20" s="587"/>
      <c r="AO20" s="587"/>
      <c r="AP20" s="587"/>
      <c r="AQ20" s="485">
        <v>41</v>
      </c>
      <c r="AR20" s="587"/>
      <c r="AS20" s="485"/>
      <c r="AT20" s="587" t="s">
        <v>1695</v>
      </c>
      <c r="AU20" s="485" t="s">
        <v>1696</v>
      </c>
    </row>
    <row r="21" spans="1:47">
      <c r="A21" s="588"/>
      <c r="B21" s="486" t="s">
        <v>1691</v>
      </c>
      <c r="C21" s="485"/>
      <c r="D21" s="485"/>
      <c r="E21" s="485"/>
      <c r="F21" s="587"/>
      <c r="G21" s="587"/>
      <c r="K21" s="587"/>
      <c r="L21" s="587"/>
      <c r="M21" s="485"/>
      <c r="N21" s="485"/>
      <c r="O21" s="485"/>
      <c r="P21" s="587"/>
      <c r="Q21" s="587"/>
      <c r="U21" s="587"/>
      <c r="V21" s="587"/>
      <c r="W21" s="485"/>
      <c r="X21" s="485"/>
      <c r="Y21" s="485"/>
      <c r="Z21" s="587"/>
      <c r="AA21" s="587"/>
      <c r="AE21" s="587"/>
      <c r="AF21" s="587"/>
      <c r="AG21" s="485"/>
      <c r="AH21" s="485"/>
      <c r="AI21" s="485"/>
      <c r="AJ21" s="587"/>
      <c r="AK21" s="587"/>
      <c r="AO21" s="587"/>
      <c r="AP21" s="587"/>
      <c r="AQ21" s="485">
        <v>123</v>
      </c>
      <c r="AR21" s="587"/>
      <c r="AS21" s="485"/>
      <c r="AT21" s="587"/>
      <c r="AU21" s="485"/>
    </row>
    <row r="22" spans="1:47" ht="43.5" customHeight="1">
      <c r="A22" s="588" t="s">
        <v>1304</v>
      </c>
      <c r="B22" s="486" t="s">
        <v>1686</v>
      </c>
      <c r="C22" s="485"/>
      <c r="D22" s="485"/>
      <c r="E22" s="485"/>
      <c r="F22" s="587"/>
      <c r="G22" s="587"/>
      <c r="K22" s="587"/>
      <c r="L22" s="587"/>
      <c r="M22" s="485"/>
      <c r="N22" s="485"/>
      <c r="O22" s="485"/>
      <c r="P22" s="587"/>
      <c r="Q22" s="587"/>
      <c r="U22" s="587"/>
      <c r="V22" s="587"/>
      <c r="W22" s="485"/>
      <c r="X22" s="485"/>
      <c r="Y22" s="485"/>
      <c r="Z22" s="587"/>
      <c r="AA22" s="587"/>
      <c r="AE22" s="587"/>
      <c r="AF22" s="587"/>
      <c r="AG22" s="485"/>
      <c r="AH22" s="485"/>
      <c r="AI22" s="485"/>
      <c r="AJ22" s="587"/>
      <c r="AK22" s="587"/>
      <c r="AO22" s="587"/>
      <c r="AP22" s="587"/>
      <c r="AQ22" s="485">
        <v>582</v>
      </c>
      <c r="AR22" s="587">
        <f>SUM(AQ22:AQ24)</f>
        <v>715</v>
      </c>
      <c r="AS22" s="485"/>
      <c r="AT22" s="587" t="s">
        <v>1697</v>
      </c>
      <c r="AU22" s="587" t="s">
        <v>1698</v>
      </c>
    </row>
    <row r="23" spans="1:47">
      <c r="A23" s="588"/>
      <c r="B23" s="486" t="s">
        <v>1690</v>
      </c>
      <c r="C23" s="485"/>
      <c r="D23" s="485"/>
      <c r="E23" s="485"/>
      <c r="F23" s="587"/>
      <c r="G23" s="587"/>
      <c r="K23" s="587"/>
      <c r="L23" s="587"/>
      <c r="M23" s="485"/>
      <c r="N23" s="485"/>
      <c r="O23" s="485"/>
      <c r="P23" s="587"/>
      <c r="Q23" s="587"/>
      <c r="U23" s="587"/>
      <c r="V23" s="587"/>
      <c r="W23" s="485"/>
      <c r="X23" s="485"/>
      <c r="Y23" s="485"/>
      <c r="Z23" s="587"/>
      <c r="AA23" s="587"/>
      <c r="AE23" s="587"/>
      <c r="AF23" s="587"/>
      <c r="AG23" s="485"/>
      <c r="AH23" s="485"/>
      <c r="AI23" s="485"/>
      <c r="AJ23" s="587"/>
      <c r="AK23" s="587"/>
      <c r="AO23" s="587"/>
      <c r="AP23" s="587"/>
      <c r="AQ23" s="485">
        <v>80</v>
      </c>
      <c r="AR23" s="587"/>
      <c r="AS23" s="485"/>
      <c r="AT23" s="587"/>
      <c r="AU23" s="587"/>
    </row>
    <row r="24" spans="1:47">
      <c r="A24" s="588"/>
      <c r="B24" s="486" t="s">
        <v>1691</v>
      </c>
      <c r="C24" s="485"/>
      <c r="D24" s="485"/>
      <c r="E24" s="485"/>
      <c r="F24" s="587"/>
      <c r="G24" s="587"/>
      <c r="K24" s="587"/>
      <c r="L24" s="587"/>
      <c r="M24" s="485"/>
      <c r="N24" s="485"/>
      <c r="O24" s="485"/>
      <c r="P24" s="587"/>
      <c r="Q24" s="587"/>
      <c r="U24" s="587"/>
      <c r="V24" s="587"/>
      <c r="W24" s="485"/>
      <c r="X24" s="485"/>
      <c r="Y24" s="485"/>
      <c r="Z24" s="587"/>
      <c r="AA24" s="587"/>
      <c r="AE24" s="587"/>
      <c r="AF24" s="587"/>
      <c r="AG24" s="485"/>
      <c r="AH24" s="485"/>
      <c r="AI24" s="485"/>
      <c r="AJ24" s="587"/>
      <c r="AK24" s="587"/>
      <c r="AO24" s="587"/>
      <c r="AP24" s="587"/>
      <c r="AQ24" s="485">
        <v>53</v>
      </c>
      <c r="AR24" s="587"/>
      <c r="AS24" s="485"/>
      <c r="AT24" s="587"/>
      <c r="AU24" s="587"/>
    </row>
    <row r="25" spans="1:47">
      <c r="A25" s="588" t="s">
        <v>366</v>
      </c>
      <c r="B25" s="486" t="s">
        <v>1686</v>
      </c>
      <c r="C25" s="485"/>
      <c r="D25" s="485"/>
      <c r="E25" s="485"/>
      <c r="F25" s="587">
        <v>0</v>
      </c>
      <c r="G25" s="587">
        <v>0</v>
      </c>
      <c r="K25" s="587"/>
      <c r="L25" s="587"/>
      <c r="M25" s="485"/>
      <c r="N25" s="485"/>
      <c r="O25" s="485"/>
      <c r="P25" s="587">
        <v>0</v>
      </c>
      <c r="Q25" s="587">
        <v>0</v>
      </c>
      <c r="U25" s="587"/>
      <c r="V25" s="587"/>
      <c r="W25" s="485"/>
      <c r="X25" s="485"/>
      <c r="Y25" s="485"/>
      <c r="Z25" s="587">
        <v>0</v>
      </c>
      <c r="AA25" s="587">
        <v>0</v>
      </c>
      <c r="AE25" s="587"/>
      <c r="AF25" s="587"/>
      <c r="AG25" s="485"/>
      <c r="AH25" s="485"/>
      <c r="AI25" s="485"/>
      <c r="AJ25" s="587">
        <v>0</v>
      </c>
      <c r="AK25" s="587">
        <v>0</v>
      </c>
      <c r="AO25" s="587"/>
      <c r="AP25" s="587"/>
      <c r="AQ25" s="485">
        <v>0</v>
      </c>
      <c r="AR25" s="587">
        <f t="shared" ref="AR25" si="1">SUM(AQ25:AQ27)</f>
        <v>0</v>
      </c>
      <c r="AS25" s="485"/>
      <c r="AT25" s="485"/>
      <c r="AU25" s="485"/>
    </row>
    <row r="26" spans="1:47">
      <c r="A26" s="588"/>
      <c r="B26" s="486" t="s">
        <v>1690</v>
      </c>
      <c r="C26" s="485"/>
      <c r="D26" s="485"/>
      <c r="E26" s="485"/>
      <c r="F26" s="587"/>
      <c r="G26" s="587"/>
      <c r="K26" s="587"/>
      <c r="L26" s="587"/>
      <c r="M26" s="485"/>
      <c r="N26" s="485"/>
      <c r="O26" s="485"/>
      <c r="P26" s="587"/>
      <c r="Q26" s="587"/>
      <c r="U26" s="587"/>
      <c r="V26" s="587"/>
      <c r="W26" s="485"/>
      <c r="X26" s="485"/>
      <c r="Y26" s="485"/>
      <c r="Z26" s="587"/>
      <c r="AA26" s="587"/>
      <c r="AE26" s="587"/>
      <c r="AF26" s="587"/>
      <c r="AG26" s="485"/>
      <c r="AH26" s="485"/>
      <c r="AI26" s="485"/>
      <c r="AJ26" s="587"/>
      <c r="AK26" s="587"/>
      <c r="AO26" s="587"/>
      <c r="AP26" s="587"/>
      <c r="AQ26" s="485">
        <v>0</v>
      </c>
      <c r="AR26" s="587"/>
      <c r="AS26" s="485"/>
      <c r="AT26" s="485"/>
      <c r="AU26" s="485"/>
    </row>
    <row r="27" spans="1:47">
      <c r="A27" s="588"/>
      <c r="B27" s="486" t="s">
        <v>1691</v>
      </c>
      <c r="C27" s="485"/>
      <c r="D27" s="485"/>
      <c r="E27" s="485"/>
      <c r="F27" s="587"/>
      <c r="G27" s="587"/>
      <c r="K27" s="587"/>
      <c r="L27" s="587"/>
      <c r="M27" s="485"/>
      <c r="N27" s="485"/>
      <c r="O27" s="485"/>
      <c r="P27" s="587"/>
      <c r="Q27" s="587"/>
      <c r="U27" s="587"/>
      <c r="V27" s="587"/>
      <c r="W27" s="485"/>
      <c r="X27" s="485"/>
      <c r="Y27" s="485"/>
      <c r="Z27" s="587"/>
      <c r="AA27" s="587"/>
      <c r="AE27" s="587"/>
      <c r="AF27" s="587"/>
      <c r="AG27" s="485"/>
      <c r="AH27" s="485"/>
      <c r="AI27" s="485"/>
      <c r="AJ27" s="587"/>
      <c r="AK27" s="587"/>
      <c r="AO27" s="587"/>
      <c r="AP27" s="587"/>
      <c r="AQ27" s="485">
        <v>0</v>
      </c>
      <c r="AR27" s="587"/>
      <c r="AS27" s="485"/>
      <c r="AT27" s="485"/>
      <c r="AU27" s="485"/>
    </row>
    <row r="28" spans="1:47" ht="188.5">
      <c r="A28" s="588" t="s">
        <v>1252</v>
      </c>
      <c r="B28" s="486" t="s">
        <v>1686</v>
      </c>
      <c r="C28" s="485">
        <v>0</v>
      </c>
      <c r="D28" s="485">
        <v>0</v>
      </c>
      <c r="E28" s="485">
        <v>31</v>
      </c>
      <c r="F28" s="587">
        <v>31</v>
      </c>
      <c r="G28" s="587">
        <v>0</v>
      </c>
      <c r="K28" s="587"/>
      <c r="L28" s="587"/>
      <c r="M28" s="485"/>
      <c r="N28" s="485"/>
      <c r="O28" s="485"/>
      <c r="P28" s="587">
        <v>8</v>
      </c>
      <c r="Q28" s="587">
        <v>0</v>
      </c>
      <c r="U28" s="587"/>
      <c r="V28" s="587"/>
      <c r="W28" s="485"/>
      <c r="X28" s="485"/>
      <c r="Y28" s="485"/>
      <c r="Z28" s="587">
        <v>41</v>
      </c>
      <c r="AA28" s="587">
        <v>0</v>
      </c>
      <c r="AE28" s="587"/>
      <c r="AF28" s="587"/>
      <c r="AG28" s="485"/>
      <c r="AH28" s="485"/>
      <c r="AI28" s="485"/>
      <c r="AJ28" s="587">
        <v>5</v>
      </c>
      <c r="AK28" s="587">
        <v>0</v>
      </c>
      <c r="AO28" s="587"/>
      <c r="AP28" s="587"/>
      <c r="AQ28" s="485">
        <v>144</v>
      </c>
      <c r="AR28" s="587">
        <f t="shared" ref="AR28" si="2">SUM(AQ28:AQ30)</f>
        <v>144</v>
      </c>
      <c r="AS28" s="485"/>
      <c r="AT28" s="101" t="s">
        <v>1699</v>
      </c>
      <c r="AU28" s="485"/>
    </row>
    <row r="29" spans="1:47">
      <c r="A29" s="588"/>
      <c r="B29" s="486" t="s">
        <v>1690</v>
      </c>
      <c r="C29" s="485"/>
      <c r="D29" s="485"/>
      <c r="E29" s="485"/>
      <c r="F29" s="587"/>
      <c r="G29" s="587"/>
      <c r="K29" s="587"/>
      <c r="L29" s="587"/>
      <c r="M29" s="485"/>
      <c r="N29" s="485"/>
      <c r="O29" s="485"/>
      <c r="P29" s="587"/>
      <c r="Q29" s="587"/>
      <c r="U29" s="587"/>
      <c r="V29" s="587"/>
      <c r="W29" s="485"/>
      <c r="X29" s="485"/>
      <c r="Y29" s="485"/>
      <c r="Z29" s="587"/>
      <c r="AA29" s="587"/>
      <c r="AE29" s="587"/>
      <c r="AF29" s="587"/>
      <c r="AG29" s="485"/>
      <c r="AH29" s="485"/>
      <c r="AI29" s="485"/>
      <c r="AJ29" s="587"/>
      <c r="AK29" s="587"/>
      <c r="AO29" s="587"/>
      <c r="AP29" s="587"/>
      <c r="AQ29" s="485">
        <v>0</v>
      </c>
      <c r="AR29" s="587"/>
      <c r="AS29" s="485"/>
      <c r="AT29" s="485"/>
      <c r="AU29" s="485"/>
    </row>
    <row r="30" spans="1:47">
      <c r="A30" s="588"/>
      <c r="B30" s="486" t="s">
        <v>1691</v>
      </c>
      <c r="C30" s="485"/>
      <c r="D30" s="485"/>
      <c r="E30" s="485"/>
      <c r="F30" s="587"/>
      <c r="G30" s="587"/>
      <c r="K30" s="587"/>
      <c r="L30" s="587"/>
      <c r="M30" s="485"/>
      <c r="N30" s="485"/>
      <c r="O30" s="485"/>
      <c r="P30" s="587"/>
      <c r="Q30" s="587"/>
      <c r="U30" s="587"/>
      <c r="V30" s="587"/>
      <c r="W30" s="485"/>
      <c r="X30" s="485"/>
      <c r="Y30" s="485"/>
      <c r="Z30" s="587"/>
      <c r="AA30" s="587"/>
      <c r="AE30" s="587"/>
      <c r="AF30" s="587"/>
      <c r="AG30" s="485"/>
      <c r="AH30" s="485"/>
      <c r="AI30" s="485"/>
      <c r="AJ30" s="587"/>
      <c r="AK30" s="587"/>
      <c r="AO30" s="587"/>
      <c r="AP30" s="587"/>
      <c r="AQ30" s="485">
        <v>0</v>
      </c>
      <c r="AR30" s="587"/>
      <c r="AS30" s="485"/>
      <c r="AT30" s="485"/>
      <c r="AU30" s="485"/>
    </row>
    <row r="31" spans="1:47" ht="188.5">
      <c r="A31" s="588" t="s">
        <v>1488</v>
      </c>
      <c r="B31" s="486" t="s">
        <v>1686</v>
      </c>
      <c r="C31" s="488">
        <v>0</v>
      </c>
      <c r="D31" s="488">
        <v>13</v>
      </c>
      <c r="E31" s="488">
        <v>32</v>
      </c>
      <c r="F31" s="593">
        <v>98</v>
      </c>
      <c r="G31" s="593">
        <v>0</v>
      </c>
      <c r="H31" s="102">
        <v>0</v>
      </c>
      <c r="I31" s="102">
        <v>13</v>
      </c>
      <c r="J31" s="102">
        <v>25</v>
      </c>
      <c r="K31" s="593">
        <v>91</v>
      </c>
      <c r="L31" s="593">
        <v>0</v>
      </c>
      <c r="M31" s="488">
        <v>30</v>
      </c>
      <c r="N31" s="488">
        <v>20</v>
      </c>
      <c r="O31" s="488">
        <v>20</v>
      </c>
      <c r="P31" s="593">
        <v>140</v>
      </c>
      <c r="Q31" s="593">
        <v>0</v>
      </c>
      <c r="R31" s="102">
        <v>24</v>
      </c>
      <c r="S31" s="102">
        <v>29</v>
      </c>
      <c r="T31" s="102">
        <v>5</v>
      </c>
      <c r="U31" s="593">
        <v>83</v>
      </c>
      <c r="V31" s="593">
        <v>0</v>
      </c>
      <c r="W31" s="488">
        <v>11</v>
      </c>
      <c r="X31" s="488">
        <v>10</v>
      </c>
      <c r="Y31" s="488"/>
      <c r="Z31" s="593">
        <v>91</v>
      </c>
      <c r="AA31" s="593">
        <v>0</v>
      </c>
      <c r="AB31" s="102">
        <v>13</v>
      </c>
      <c r="AC31" s="102"/>
      <c r="AD31" s="102"/>
      <c r="AE31" s="593"/>
      <c r="AF31" s="593"/>
      <c r="AG31" s="488">
        <v>0</v>
      </c>
      <c r="AH31" s="488">
        <v>0</v>
      </c>
      <c r="AI31" s="488">
        <v>0</v>
      </c>
      <c r="AJ31" s="593">
        <v>45</v>
      </c>
      <c r="AK31" s="593">
        <v>0</v>
      </c>
      <c r="AL31" s="102"/>
      <c r="AM31" s="102"/>
      <c r="AN31" s="102"/>
      <c r="AO31" s="593"/>
      <c r="AP31" s="593"/>
      <c r="AQ31" s="488">
        <v>136</v>
      </c>
      <c r="AR31" s="587">
        <f t="shared" ref="AR31" si="3">SUM(AQ31:AQ33)</f>
        <v>136</v>
      </c>
      <c r="AS31" s="485" t="s">
        <v>1700</v>
      </c>
      <c r="AT31" s="101" t="s">
        <v>1701</v>
      </c>
      <c r="AU31" s="485"/>
    </row>
    <row r="32" spans="1:47">
      <c r="A32" s="588"/>
      <c r="B32" s="486" t="s">
        <v>1690</v>
      </c>
      <c r="C32" s="488"/>
      <c r="D32" s="488"/>
      <c r="E32" s="488"/>
      <c r="F32" s="593"/>
      <c r="G32" s="593"/>
      <c r="H32" s="102"/>
      <c r="I32" s="102"/>
      <c r="J32" s="102"/>
      <c r="K32" s="593"/>
      <c r="L32" s="593"/>
      <c r="M32" s="488"/>
      <c r="N32" s="488"/>
      <c r="O32" s="488"/>
      <c r="P32" s="593"/>
      <c r="Q32" s="593"/>
      <c r="R32" s="102"/>
      <c r="S32" s="102"/>
      <c r="T32" s="102"/>
      <c r="U32" s="593"/>
      <c r="V32" s="593"/>
      <c r="W32" s="488"/>
      <c r="X32" s="488"/>
      <c r="Y32" s="488"/>
      <c r="Z32" s="593"/>
      <c r="AA32" s="593"/>
      <c r="AB32" s="102"/>
      <c r="AC32" s="102"/>
      <c r="AD32" s="102"/>
      <c r="AE32" s="593"/>
      <c r="AF32" s="593"/>
      <c r="AG32" s="488"/>
      <c r="AH32" s="488"/>
      <c r="AI32" s="488"/>
      <c r="AJ32" s="593"/>
      <c r="AK32" s="593"/>
      <c r="AL32" s="102"/>
      <c r="AM32" s="102"/>
      <c r="AN32" s="102"/>
      <c r="AO32" s="593"/>
      <c r="AP32" s="593"/>
      <c r="AQ32" s="488">
        <v>0</v>
      </c>
      <c r="AR32" s="587"/>
      <c r="AS32" s="485"/>
      <c r="AT32" s="485"/>
      <c r="AU32" s="485"/>
    </row>
    <row r="33" spans="1:47">
      <c r="A33" s="588"/>
      <c r="B33" s="486" t="s">
        <v>1691</v>
      </c>
      <c r="C33" s="488"/>
      <c r="D33" s="488"/>
      <c r="E33" s="488"/>
      <c r="F33" s="593"/>
      <c r="G33" s="593"/>
      <c r="H33" s="102"/>
      <c r="I33" s="102"/>
      <c r="J33" s="102"/>
      <c r="K33" s="593"/>
      <c r="L33" s="593"/>
      <c r="M33" s="488"/>
      <c r="N33" s="488"/>
      <c r="O33" s="488"/>
      <c r="P33" s="593"/>
      <c r="Q33" s="593"/>
      <c r="R33" s="102"/>
      <c r="S33" s="102"/>
      <c r="T33" s="102"/>
      <c r="U33" s="593"/>
      <c r="V33" s="593"/>
      <c r="W33" s="488"/>
      <c r="X33" s="488"/>
      <c r="Y33" s="488"/>
      <c r="Z33" s="593"/>
      <c r="AA33" s="593"/>
      <c r="AB33" s="102"/>
      <c r="AC33" s="102"/>
      <c r="AD33" s="102"/>
      <c r="AE33" s="593"/>
      <c r="AF33" s="593"/>
      <c r="AG33" s="488"/>
      <c r="AH33" s="488"/>
      <c r="AI33" s="488"/>
      <c r="AJ33" s="593"/>
      <c r="AK33" s="593"/>
      <c r="AL33" s="102"/>
      <c r="AM33" s="102"/>
      <c r="AN33" s="102"/>
      <c r="AO33" s="593"/>
      <c r="AP33" s="593"/>
      <c r="AQ33" s="488">
        <v>0</v>
      </c>
      <c r="AR33" s="587"/>
      <c r="AS33" s="485"/>
      <c r="AT33" s="485"/>
      <c r="AU33" s="485"/>
    </row>
    <row r="34" spans="1:47" ht="290">
      <c r="A34" s="588" t="s">
        <v>230</v>
      </c>
      <c r="B34" s="486" t="s">
        <v>1686</v>
      </c>
      <c r="C34" s="488">
        <v>13</v>
      </c>
      <c r="D34" s="488">
        <v>23</v>
      </c>
      <c r="E34" s="488">
        <v>17</v>
      </c>
      <c r="F34" s="593"/>
      <c r="G34" s="593"/>
      <c r="H34" s="102">
        <v>13</v>
      </c>
      <c r="I34" s="102">
        <v>23</v>
      </c>
      <c r="J34" s="102">
        <v>17</v>
      </c>
      <c r="K34" s="593"/>
      <c r="L34" s="593"/>
      <c r="M34" s="488">
        <v>15</v>
      </c>
      <c r="N34" s="488">
        <v>15</v>
      </c>
      <c r="O34" s="488">
        <v>40</v>
      </c>
      <c r="P34" s="593"/>
      <c r="Q34" s="593"/>
      <c r="R34" s="102">
        <v>7</v>
      </c>
      <c r="S34" s="102">
        <v>12</v>
      </c>
      <c r="T34" s="102">
        <v>6</v>
      </c>
      <c r="U34" s="593"/>
      <c r="V34" s="593"/>
      <c r="W34" s="488">
        <v>20</v>
      </c>
      <c r="X34" s="488">
        <v>20</v>
      </c>
      <c r="Y34" s="488">
        <v>30</v>
      </c>
      <c r="Z34" s="593"/>
      <c r="AA34" s="593"/>
      <c r="AB34" s="102">
        <v>12</v>
      </c>
      <c r="AC34" s="102"/>
      <c r="AD34" s="102"/>
      <c r="AE34" s="593"/>
      <c r="AF34" s="593"/>
      <c r="AG34" s="488">
        <v>15</v>
      </c>
      <c r="AH34" s="488">
        <v>15</v>
      </c>
      <c r="AI34" s="488">
        <v>15</v>
      </c>
      <c r="AJ34" s="593"/>
      <c r="AK34" s="593"/>
      <c r="AL34" s="102"/>
      <c r="AM34" s="102"/>
      <c r="AN34" s="102"/>
      <c r="AO34" s="593"/>
      <c r="AP34" s="593"/>
      <c r="AQ34" s="488">
        <v>238</v>
      </c>
      <c r="AR34" s="587">
        <f t="shared" ref="AR34" si="4">SUM(AQ34:AQ36)</f>
        <v>238</v>
      </c>
      <c r="AS34" s="485" t="s">
        <v>1702</v>
      </c>
      <c r="AT34" s="101" t="s">
        <v>1701</v>
      </c>
      <c r="AU34" s="485"/>
    </row>
    <row r="35" spans="1:47">
      <c r="A35" s="588"/>
      <c r="B35" s="486" t="s">
        <v>1690</v>
      </c>
      <c r="C35" s="488"/>
      <c r="D35" s="488"/>
      <c r="E35" s="488"/>
      <c r="F35" s="593"/>
      <c r="G35" s="593"/>
      <c r="H35" s="102"/>
      <c r="I35" s="102"/>
      <c r="J35" s="102"/>
      <c r="K35" s="593"/>
      <c r="L35" s="593"/>
      <c r="M35" s="488"/>
      <c r="N35" s="488"/>
      <c r="O35" s="488"/>
      <c r="P35" s="593"/>
      <c r="Q35" s="593"/>
      <c r="R35" s="102"/>
      <c r="S35" s="102"/>
      <c r="T35" s="102"/>
      <c r="U35" s="593"/>
      <c r="V35" s="593"/>
      <c r="W35" s="488"/>
      <c r="X35" s="488"/>
      <c r="Y35" s="488"/>
      <c r="Z35" s="593"/>
      <c r="AA35" s="593"/>
      <c r="AB35" s="102"/>
      <c r="AC35" s="102"/>
      <c r="AD35" s="102"/>
      <c r="AE35" s="593"/>
      <c r="AF35" s="593"/>
      <c r="AG35" s="488"/>
      <c r="AH35" s="488"/>
      <c r="AI35" s="488"/>
      <c r="AJ35" s="593"/>
      <c r="AK35" s="593"/>
      <c r="AL35" s="102"/>
      <c r="AM35" s="102"/>
      <c r="AN35" s="102"/>
      <c r="AO35" s="593"/>
      <c r="AP35" s="593"/>
      <c r="AQ35" s="488">
        <v>0</v>
      </c>
      <c r="AR35" s="587"/>
      <c r="AS35" s="485"/>
      <c r="AT35" s="485"/>
      <c r="AU35" s="485"/>
    </row>
    <row r="36" spans="1:47">
      <c r="A36" s="588"/>
      <c r="B36" s="486" t="s">
        <v>1691</v>
      </c>
      <c r="C36" s="488"/>
      <c r="D36" s="488"/>
      <c r="E36" s="488"/>
      <c r="F36" s="593"/>
      <c r="G36" s="593"/>
      <c r="H36" s="102"/>
      <c r="I36" s="102"/>
      <c r="J36" s="102"/>
      <c r="K36" s="593"/>
      <c r="L36" s="593"/>
      <c r="M36" s="488"/>
      <c r="N36" s="488"/>
      <c r="O36" s="488"/>
      <c r="P36" s="593"/>
      <c r="Q36" s="593"/>
      <c r="R36" s="102"/>
      <c r="S36" s="102"/>
      <c r="T36" s="102"/>
      <c r="U36" s="593"/>
      <c r="V36" s="593"/>
      <c r="W36" s="488"/>
      <c r="X36" s="488"/>
      <c r="Y36" s="488"/>
      <c r="Z36" s="593"/>
      <c r="AA36" s="593"/>
      <c r="AB36" s="102"/>
      <c r="AC36" s="102"/>
      <c r="AD36" s="102"/>
      <c r="AE36" s="593"/>
      <c r="AF36" s="593"/>
      <c r="AG36" s="488"/>
      <c r="AH36" s="488"/>
      <c r="AI36" s="488"/>
      <c r="AJ36" s="593"/>
      <c r="AK36" s="593"/>
      <c r="AL36" s="102"/>
      <c r="AM36" s="102"/>
      <c r="AN36" s="102"/>
      <c r="AO36" s="593"/>
      <c r="AP36" s="593"/>
      <c r="AQ36" s="488">
        <v>0</v>
      </c>
      <c r="AR36" s="587"/>
      <c r="AS36" s="485"/>
      <c r="AT36" s="485"/>
      <c r="AU36" s="485"/>
    </row>
    <row r="37" spans="1:47">
      <c r="A37" s="588" t="s">
        <v>46</v>
      </c>
      <c r="B37" s="486" t="s">
        <v>1686</v>
      </c>
      <c r="C37" s="485"/>
      <c r="D37" s="485"/>
      <c r="E37" s="485"/>
      <c r="F37" s="587">
        <v>435</v>
      </c>
      <c r="G37" s="587">
        <v>0</v>
      </c>
      <c r="K37" s="587"/>
      <c r="L37" s="587"/>
      <c r="M37" s="485"/>
      <c r="N37" s="485"/>
      <c r="O37" s="485"/>
      <c r="P37" s="587">
        <v>0</v>
      </c>
      <c r="Q37" s="587">
        <v>0</v>
      </c>
      <c r="U37" s="587"/>
      <c r="V37" s="587"/>
      <c r="W37" s="485"/>
      <c r="X37" s="485"/>
      <c r="Y37" s="485"/>
      <c r="Z37" s="587">
        <v>0</v>
      </c>
      <c r="AA37" s="587">
        <v>0</v>
      </c>
      <c r="AE37" s="587"/>
      <c r="AF37" s="587"/>
      <c r="AG37" s="485"/>
      <c r="AH37" s="485"/>
      <c r="AI37" s="485"/>
      <c r="AJ37" s="587">
        <v>0</v>
      </c>
      <c r="AK37" s="587">
        <v>0</v>
      </c>
      <c r="AO37" s="587"/>
      <c r="AP37" s="587"/>
      <c r="AQ37" s="485">
        <v>435</v>
      </c>
      <c r="AR37" s="587">
        <f t="shared" ref="AR37" si="5">SUM(AQ37:AQ39)</f>
        <v>435</v>
      </c>
      <c r="AS37" s="485"/>
      <c r="AT37" s="485" t="s">
        <v>1703</v>
      </c>
      <c r="AU37" s="485"/>
    </row>
    <row r="38" spans="1:47">
      <c r="A38" s="588"/>
      <c r="B38" s="486" t="s">
        <v>1690</v>
      </c>
      <c r="C38" s="485"/>
      <c r="D38" s="485"/>
      <c r="E38" s="485"/>
      <c r="F38" s="587"/>
      <c r="G38" s="587"/>
      <c r="H38" s="81">
        <v>235</v>
      </c>
      <c r="I38" s="81">
        <v>200</v>
      </c>
      <c r="K38" s="587"/>
      <c r="L38" s="587"/>
      <c r="M38" s="485"/>
      <c r="N38" s="485"/>
      <c r="O38" s="485"/>
      <c r="P38" s="587"/>
      <c r="Q38" s="587"/>
      <c r="U38" s="587"/>
      <c r="V38" s="587"/>
      <c r="W38" s="485"/>
      <c r="X38" s="485"/>
      <c r="Y38" s="485"/>
      <c r="Z38" s="587"/>
      <c r="AA38" s="587"/>
      <c r="AE38" s="587"/>
      <c r="AF38" s="587"/>
      <c r="AG38" s="485"/>
      <c r="AH38" s="485"/>
      <c r="AI38" s="485"/>
      <c r="AJ38" s="587"/>
      <c r="AK38" s="587"/>
      <c r="AO38" s="587"/>
      <c r="AP38" s="587"/>
      <c r="AQ38" s="485">
        <v>0</v>
      </c>
      <c r="AR38" s="587"/>
      <c r="AS38" s="485"/>
      <c r="AT38" s="485"/>
      <c r="AU38" s="485"/>
    </row>
    <row r="39" spans="1:47">
      <c r="A39" s="588"/>
      <c r="B39" s="486" t="s">
        <v>1691</v>
      </c>
      <c r="C39" s="485"/>
      <c r="D39" s="485"/>
      <c r="E39" s="485"/>
      <c r="F39" s="587"/>
      <c r="G39" s="587"/>
      <c r="K39" s="587"/>
      <c r="L39" s="587"/>
      <c r="M39" s="485"/>
      <c r="N39" s="485"/>
      <c r="O39" s="485"/>
      <c r="P39" s="587"/>
      <c r="Q39" s="587"/>
      <c r="U39" s="587"/>
      <c r="V39" s="587"/>
      <c r="W39" s="485"/>
      <c r="X39" s="485"/>
      <c r="Y39" s="485"/>
      <c r="Z39" s="587"/>
      <c r="AA39" s="587"/>
      <c r="AE39" s="587"/>
      <c r="AF39" s="587"/>
      <c r="AG39" s="485"/>
      <c r="AH39" s="485"/>
      <c r="AI39" s="485"/>
      <c r="AJ39" s="587"/>
      <c r="AK39" s="587"/>
      <c r="AO39" s="587"/>
      <c r="AP39" s="587"/>
      <c r="AQ39" s="485">
        <v>0</v>
      </c>
      <c r="AR39" s="587"/>
      <c r="AS39" s="485"/>
      <c r="AT39" s="485"/>
      <c r="AU39" s="485"/>
    </row>
    <row r="40" spans="1:47">
      <c r="A40" s="588" t="s">
        <v>1397</v>
      </c>
      <c r="B40" s="486" t="s">
        <v>1686</v>
      </c>
      <c r="C40" s="485"/>
      <c r="D40" s="485"/>
      <c r="E40" s="485"/>
      <c r="F40" s="587">
        <v>10</v>
      </c>
      <c r="G40" s="587">
        <v>0</v>
      </c>
      <c r="H40" s="81">
        <v>0</v>
      </c>
      <c r="I40" s="81">
        <v>0</v>
      </c>
      <c r="J40" s="81">
        <v>3</v>
      </c>
      <c r="K40" s="587">
        <v>3</v>
      </c>
      <c r="L40" s="587">
        <v>0</v>
      </c>
      <c r="M40" s="485"/>
      <c r="N40" s="485"/>
      <c r="O40" s="485"/>
      <c r="P40" s="587">
        <v>20</v>
      </c>
      <c r="Q40" s="587">
        <v>0</v>
      </c>
      <c r="R40" s="81">
        <v>0</v>
      </c>
      <c r="S40" s="81">
        <v>2</v>
      </c>
      <c r="T40" s="81">
        <v>1</v>
      </c>
      <c r="U40" s="587">
        <v>3</v>
      </c>
      <c r="V40" s="587">
        <v>0</v>
      </c>
      <c r="W40" s="485">
        <v>0</v>
      </c>
      <c r="X40" s="485">
        <v>2</v>
      </c>
      <c r="Y40" s="485">
        <v>2</v>
      </c>
      <c r="Z40" s="587">
        <v>15</v>
      </c>
      <c r="AA40" s="587">
        <v>0</v>
      </c>
      <c r="AE40" s="587"/>
      <c r="AF40" s="587"/>
      <c r="AG40" s="485"/>
      <c r="AH40" s="485"/>
      <c r="AI40" s="485"/>
      <c r="AJ40" s="587">
        <v>9</v>
      </c>
      <c r="AK40" s="587">
        <v>0</v>
      </c>
      <c r="AO40" s="587"/>
      <c r="AP40" s="587"/>
      <c r="AQ40" s="485">
        <v>0</v>
      </c>
      <c r="AR40" s="587">
        <f t="shared" ref="AR40" si="6">SUM(AQ40:AQ42)</f>
        <v>54</v>
      </c>
      <c r="AS40" s="485"/>
      <c r="AT40" s="485"/>
      <c r="AU40" s="587" t="s">
        <v>1704</v>
      </c>
    </row>
    <row r="41" spans="1:47">
      <c r="A41" s="588"/>
      <c r="B41" s="486" t="s">
        <v>1690</v>
      </c>
      <c r="C41" s="485"/>
      <c r="D41" s="485"/>
      <c r="E41" s="485"/>
      <c r="F41" s="587"/>
      <c r="G41" s="587"/>
      <c r="K41" s="587"/>
      <c r="L41" s="587"/>
      <c r="M41" s="485"/>
      <c r="N41" s="485"/>
      <c r="O41" s="485"/>
      <c r="P41" s="587"/>
      <c r="Q41" s="587"/>
      <c r="U41" s="587"/>
      <c r="V41" s="587"/>
      <c r="W41" s="485"/>
      <c r="X41" s="485"/>
      <c r="Y41" s="485"/>
      <c r="Z41" s="587"/>
      <c r="AA41" s="587"/>
      <c r="AE41" s="587"/>
      <c r="AF41" s="587"/>
      <c r="AG41" s="485"/>
      <c r="AH41" s="485"/>
      <c r="AI41" s="485"/>
      <c r="AJ41" s="587"/>
      <c r="AK41" s="587"/>
      <c r="AO41" s="587"/>
      <c r="AP41" s="587"/>
      <c r="AQ41" s="485">
        <v>54</v>
      </c>
      <c r="AR41" s="587"/>
      <c r="AS41" s="485"/>
      <c r="AT41" s="485"/>
      <c r="AU41" s="587"/>
    </row>
    <row r="42" spans="1:47">
      <c r="A42" s="588"/>
      <c r="B42" s="486" t="s">
        <v>1691</v>
      </c>
      <c r="C42" s="485"/>
      <c r="D42" s="485"/>
      <c r="E42" s="485"/>
      <c r="F42" s="587"/>
      <c r="G42" s="587"/>
      <c r="K42" s="587"/>
      <c r="L42" s="587"/>
      <c r="M42" s="485"/>
      <c r="N42" s="485"/>
      <c r="O42" s="485"/>
      <c r="P42" s="587"/>
      <c r="Q42" s="587"/>
      <c r="U42" s="587"/>
      <c r="V42" s="587"/>
      <c r="W42" s="485"/>
      <c r="X42" s="485"/>
      <c r="Y42" s="485"/>
      <c r="Z42" s="587"/>
      <c r="AA42" s="587"/>
      <c r="AE42" s="587"/>
      <c r="AF42" s="587"/>
      <c r="AG42" s="485"/>
      <c r="AH42" s="485"/>
      <c r="AI42" s="485"/>
      <c r="AJ42" s="587"/>
      <c r="AK42" s="587"/>
      <c r="AO42" s="587"/>
      <c r="AP42" s="587"/>
      <c r="AQ42" s="485">
        <v>0</v>
      </c>
      <c r="AR42" s="587"/>
      <c r="AS42" s="485"/>
      <c r="AT42" s="485"/>
      <c r="AU42" s="587"/>
    </row>
    <row r="43" spans="1:47" ht="26.25" customHeight="1">
      <c r="A43" s="588" t="s">
        <v>1705</v>
      </c>
      <c r="B43" s="486" t="s">
        <v>1686</v>
      </c>
      <c r="C43" s="485"/>
      <c r="D43" s="485"/>
      <c r="E43" s="485"/>
      <c r="F43" s="587">
        <v>0</v>
      </c>
      <c r="G43" s="587">
        <v>0</v>
      </c>
      <c r="K43" s="587"/>
      <c r="L43" s="587"/>
      <c r="M43" s="485"/>
      <c r="N43" s="485"/>
      <c r="O43" s="485"/>
      <c r="P43" s="587">
        <v>0</v>
      </c>
      <c r="Q43" s="587">
        <v>0</v>
      </c>
      <c r="U43" s="587"/>
      <c r="V43" s="587"/>
      <c r="W43" s="485"/>
      <c r="X43" s="485"/>
      <c r="Y43" s="485"/>
      <c r="Z43" s="587">
        <v>0</v>
      </c>
      <c r="AA43" s="587">
        <v>0</v>
      </c>
      <c r="AE43" s="587"/>
      <c r="AF43" s="587"/>
      <c r="AG43" s="485"/>
      <c r="AH43" s="485"/>
      <c r="AI43" s="485"/>
      <c r="AJ43" s="587">
        <v>0</v>
      </c>
      <c r="AK43" s="587">
        <v>0</v>
      </c>
      <c r="AO43" s="587"/>
      <c r="AP43" s="587"/>
      <c r="AQ43" s="485">
        <v>0</v>
      </c>
      <c r="AR43" s="587">
        <f t="shared" ref="AR43" si="7">SUM(AQ43:AQ45)</f>
        <v>0</v>
      </c>
      <c r="AS43" s="485"/>
      <c r="AT43" s="101" t="s">
        <v>1706</v>
      </c>
      <c r="AU43" s="485"/>
    </row>
    <row r="44" spans="1:47">
      <c r="A44" s="588"/>
      <c r="B44" s="486" t="s">
        <v>1690</v>
      </c>
      <c r="C44" s="485"/>
      <c r="D44" s="485"/>
      <c r="E44" s="485"/>
      <c r="F44" s="587"/>
      <c r="G44" s="587"/>
      <c r="K44" s="587"/>
      <c r="L44" s="587"/>
      <c r="M44" s="485"/>
      <c r="N44" s="485"/>
      <c r="O44" s="485"/>
      <c r="P44" s="587"/>
      <c r="Q44" s="587"/>
      <c r="U44" s="587"/>
      <c r="V44" s="587"/>
      <c r="W44" s="485"/>
      <c r="X44" s="485"/>
      <c r="Y44" s="485"/>
      <c r="Z44" s="587"/>
      <c r="AA44" s="587"/>
      <c r="AE44" s="587"/>
      <c r="AF44" s="587"/>
      <c r="AG44" s="485"/>
      <c r="AH44" s="485"/>
      <c r="AI44" s="485"/>
      <c r="AJ44" s="587"/>
      <c r="AK44" s="587"/>
      <c r="AO44" s="587"/>
      <c r="AP44" s="587"/>
      <c r="AQ44" s="485">
        <v>0</v>
      </c>
      <c r="AR44" s="587"/>
      <c r="AS44" s="485"/>
      <c r="AT44" s="485"/>
      <c r="AU44" s="485"/>
    </row>
    <row r="45" spans="1:47">
      <c r="A45" s="588"/>
      <c r="B45" s="486" t="s">
        <v>1691</v>
      </c>
      <c r="C45" s="485"/>
      <c r="D45" s="485"/>
      <c r="E45" s="485"/>
      <c r="F45" s="587"/>
      <c r="G45" s="587"/>
      <c r="K45" s="587"/>
      <c r="L45" s="587"/>
      <c r="M45" s="485"/>
      <c r="N45" s="485"/>
      <c r="O45" s="485"/>
      <c r="P45" s="587"/>
      <c r="Q45" s="587"/>
      <c r="U45" s="587"/>
      <c r="V45" s="587"/>
      <c r="W45" s="485"/>
      <c r="X45" s="485"/>
      <c r="Y45" s="485"/>
      <c r="Z45" s="587"/>
      <c r="AA45" s="587"/>
      <c r="AE45" s="587"/>
      <c r="AF45" s="587"/>
      <c r="AG45" s="485"/>
      <c r="AH45" s="485"/>
      <c r="AI45" s="485"/>
      <c r="AJ45" s="587"/>
      <c r="AK45" s="587"/>
      <c r="AO45" s="587"/>
      <c r="AP45" s="587"/>
      <c r="AQ45" s="485">
        <v>0</v>
      </c>
      <c r="AR45" s="587"/>
      <c r="AS45" s="485"/>
      <c r="AT45" s="485"/>
      <c r="AU45" s="485"/>
    </row>
    <row r="46" spans="1:47" s="98" customFormat="1">
      <c r="A46" s="486" t="s">
        <v>225</v>
      </c>
      <c r="B46" s="486"/>
      <c r="C46" s="486">
        <f t="shared" ref="C46:AI46" si="8">SUM(C4:C45)</f>
        <v>85</v>
      </c>
      <c r="D46" s="486">
        <f t="shared" si="8"/>
        <v>155</v>
      </c>
      <c r="E46" s="486">
        <f t="shared" si="8"/>
        <v>199</v>
      </c>
      <c r="F46" s="103">
        <f t="shared" si="8"/>
        <v>749</v>
      </c>
      <c r="G46" s="486">
        <f t="shared" si="8"/>
        <v>425</v>
      </c>
      <c r="H46" s="487">
        <f t="shared" ref="H46:L46" si="9">SUM(H4:H45)</f>
        <v>333</v>
      </c>
      <c r="I46" s="487">
        <f t="shared" si="9"/>
        <v>330</v>
      </c>
      <c r="J46" s="487">
        <f t="shared" si="9"/>
        <v>182</v>
      </c>
      <c r="K46" s="103">
        <f t="shared" si="9"/>
        <v>94</v>
      </c>
      <c r="L46" s="486">
        <f t="shared" si="9"/>
        <v>0</v>
      </c>
      <c r="M46" s="486">
        <f t="shared" si="8"/>
        <v>107</v>
      </c>
      <c r="N46" s="486">
        <f t="shared" si="8"/>
        <v>235</v>
      </c>
      <c r="O46" s="486">
        <f t="shared" si="8"/>
        <v>190</v>
      </c>
      <c r="P46" s="103">
        <f t="shared" si="8"/>
        <v>451</v>
      </c>
      <c r="Q46" s="486">
        <f t="shared" si="8"/>
        <v>334</v>
      </c>
      <c r="R46" s="487">
        <f t="shared" ref="R46:V46" si="10">SUM(R4:R45)</f>
        <v>113</v>
      </c>
      <c r="S46" s="487">
        <f t="shared" si="10"/>
        <v>217</v>
      </c>
      <c r="T46" s="487">
        <f t="shared" si="10"/>
        <v>154</v>
      </c>
      <c r="U46" s="103">
        <f t="shared" si="10"/>
        <v>86</v>
      </c>
      <c r="V46" s="486">
        <f t="shared" si="10"/>
        <v>0</v>
      </c>
      <c r="W46" s="486">
        <f t="shared" si="8"/>
        <v>108</v>
      </c>
      <c r="X46" s="486">
        <f t="shared" si="8"/>
        <v>162</v>
      </c>
      <c r="Y46" s="486">
        <f t="shared" si="8"/>
        <v>177</v>
      </c>
      <c r="Z46" s="103">
        <f t="shared" si="8"/>
        <v>438</v>
      </c>
      <c r="AA46" s="103">
        <f t="shared" si="8"/>
        <v>449</v>
      </c>
      <c r="AB46" s="487">
        <f t="shared" ref="AB46:AF46" si="11">SUM(AB4:AB45)</f>
        <v>102</v>
      </c>
      <c r="AC46" s="487">
        <f t="shared" si="11"/>
        <v>152</v>
      </c>
      <c r="AD46" s="487">
        <f t="shared" si="11"/>
        <v>130</v>
      </c>
      <c r="AE46" s="103">
        <f t="shared" si="11"/>
        <v>0</v>
      </c>
      <c r="AF46" s="103">
        <f t="shared" si="11"/>
        <v>0</v>
      </c>
      <c r="AG46" s="486">
        <f t="shared" si="8"/>
        <v>75</v>
      </c>
      <c r="AH46" s="486">
        <f t="shared" si="8"/>
        <v>135</v>
      </c>
      <c r="AI46" s="486">
        <f t="shared" si="8"/>
        <v>135</v>
      </c>
      <c r="AJ46" s="103">
        <f t="shared" ref="AJ46:AN46" si="12">SUM(AJ4:AJ45)</f>
        <v>219</v>
      </c>
      <c r="AK46" s="486">
        <f t="shared" si="12"/>
        <v>335</v>
      </c>
      <c r="AL46" s="487">
        <f t="shared" si="12"/>
        <v>0</v>
      </c>
      <c r="AM46" s="487">
        <f t="shared" si="12"/>
        <v>0</v>
      </c>
      <c r="AN46" s="487">
        <f t="shared" si="12"/>
        <v>0</v>
      </c>
      <c r="AO46" s="103">
        <f t="shared" ref="AO46:AP46" si="13">SUM(AO4:AO45)</f>
        <v>0</v>
      </c>
      <c r="AP46" s="486">
        <f t="shared" si="13"/>
        <v>0</v>
      </c>
      <c r="AQ46" s="486">
        <f>SUM(AQ4:AQ45)</f>
        <v>3459</v>
      </c>
      <c r="AR46" s="486">
        <f>SUM(AQ46)</f>
        <v>3459</v>
      </c>
      <c r="AS46" s="486"/>
      <c r="AT46" s="486"/>
      <c r="AU46" s="486"/>
    </row>
  </sheetData>
  <mergeCells count="238">
    <mergeCell ref="AP40:AP42"/>
    <mergeCell ref="AE31:AE36"/>
    <mergeCell ref="AF31:AF36"/>
    <mergeCell ref="AP43:AP45"/>
    <mergeCell ref="AL2:AN2"/>
    <mergeCell ref="AO2:AO3"/>
    <mergeCell ref="AP2:AP3"/>
    <mergeCell ref="AO4:AO9"/>
    <mergeCell ref="AP4:AP9"/>
    <mergeCell ref="AO10:AO12"/>
    <mergeCell ref="AP10:AP12"/>
    <mergeCell ref="AO13:AO15"/>
    <mergeCell ref="AP13:AP15"/>
    <mergeCell ref="AO16:AO18"/>
    <mergeCell ref="AP16:AP18"/>
    <mergeCell ref="AO19:AO24"/>
    <mergeCell ref="AP19:AP24"/>
    <mergeCell ref="AO25:AO27"/>
    <mergeCell ref="AP25:AP27"/>
    <mergeCell ref="AO28:AO30"/>
    <mergeCell ref="AP28:AP30"/>
    <mergeCell ref="AO31:AO36"/>
    <mergeCell ref="AP31:AP36"/>
    <mergeCell ref="AP37:AP39"/>
    <mergeCell ref="AO43:AO45"/>
    <mergeCell ref="AB2:AD2"/>
    <mergeCell ref="AE2:AE3"/>
    <mergeCell ref="AF2:AF3"/>
    <mergeCell ref="AE4:AE9"/>
    <mergeCell ref="AF4:AF9"/>
    <mergeCell ref="AE10:AE12"/>
    <mergeCell ref="AF10:AF12"/>
    <mergeCell ref="AE13:AE15"/>
    <mergeCell ref="AF13:AF15"/>
    <mergeCell ref="AE37:AE39"/>
    <mergeCell ref="AF37:AF39"/>
    <mergeCell ref="AE40:AE42"/>
    <mergeCell ref="AF40:AF42"/>
    <mergeCell ref="AE43:AE45"/>
    <mergeCell ref="AF43:AF45"/>
    <mergeCell ref="AE16:AE18"/>
    <mergeCell ref="AF16:AF18"/>
    <mergeCell ref="AE19:AE24"/>
    <mergeCell ref="AF19:AF24"/>
    <mergeCell ref="AE25:AE27"/>
    <mergeCell ref="AF25:AF27"/>
    <mergeCell ref="AO40:AO42"/>
    <mergeCell ref="AE28:AE30"/>
    <mergeCell ref="AF28:AF30"/>
    <mergeCell ref="U28:U30"/>
    <mergeCell ref="V28:V30"/>
    <mergeCell ref="U31:U36"/>
    <mergeCell ref="V31:V36"/>
    <mergeCell ref="U37:U39"/>
    <mergeCell ref="V37:V39"/>
    <mergeCell ref="U40:U42"/>
    <mergeCell ref="V40:V42"/>
    <mergeCell ref="AA28:AA30"/>
    <mergeCell ref="AA31:AA36"/>
    <mergeCell ref="F43:F45"/>
    <mergeCell ref="G43:G45"/>
    <mergeCell ref="P43:P45"/>
    <mergeCell ref="Q43:Q45"/>
    <mergeCell ref="Z43:Z45"/>
    <mergeCell ref="AA43:AA45"/>
    <mergeCell ref="AJ43:AJ45"/>
    <mergeCell ref="AK43:AK45"/>
    <mergeCell ref="F40:F42"/>
    <mergeCell ref="G40:G42"/>
    <mergeCell ref="P40:P42"/>
    <mergeCell ref="Q40:Q42"/>
    <mergeCell ref="Z40:Z42"/>
    <mergeCell ref="AA40:AA42"/>
    <mergeCell ref="K40:K42"/>
    <mergeCell ref="L40:L42"/>
    <mergeCell ref="K43:K45"/>
    <mergeCell ref="L43:L45"/>
    <mergeCell ref="U43:U45"/>
    <mergeCell ref="V43:V45"/>
    <mergeCell ref="Q25:Q27"/>
    <mergeCell ref="Z25:Z27"/>
    <mergeCell ref="AA25:AA27"/>
    <mergeCell ref="Q13:Q15"/>
    <mergeCell ref="P28:P30"/>
    <mergeCell ref="Q28:Q30"/>
    <mergeCell ref="Z28:Z30"/>
    <mergeCell ref="U16:U18"/>
    <mergeCell ref="V16:V18"/>
    <mergeCell ref="U19:U24"/>
    <mergeCell ref="V19:V24"/>
    <mergeCell ref="U25:U27"/>
    <mergeCell ref="V25:V27"/>
    <mergeCell ref="U13:U15"/>
    <mergeCell ref="V13:V15"/>
    <mergeCell ref="AR43:AR45"/>
    <mergeCell ref="AQ2:AQ3"/>
    <mergeCell ref="AR2:AR3"/>
    <mergeCell ref="AJ13:AJ15"/>
    <mergeCell ref="AK13:AK15"/>
    <mergeCell ref="AJ19:AJ24"/>
    <mergeCell ref="AK19:AK24"/>
    <mergeCell ref="AJ25:AJ27"/>
    <mergeCell ref="AK25:AK27"/>
    <mergeCell ref="AJ2:AJ3"/>
    <mergeCell ref="AK2:AK3"/>
    <mergeCell ref="AK10:AK12"/>
    <mergeCell ref="AK4:AK9"/>
    <mergeCell ref="AJ16:AJ18"/>
    <mergeCell ref="AK16:AK18"/>
    <mergeCell ref="AJ40:AJ42"/>
    <mergeCell ref="AK40:AK42"/>
    <mergeCell ref="AJ10:AJ12"/>
    <mergeCell ref="AJ31:AJ36"/>
    <mergeCell ref="AJ4:AJ9"/>
    <mergeCell ref="AJ37:AJ39"/>
    <mergeCell ref="AK37:AK39"/>
    <mergeCell ref="AK31:AK36"/>
    <mergeCell ref="AO37:AO39"/>
    <mergeCell ref="A19:A21"/>
    <mergeCell ref="AA2:AA3"/>
    <mergeCell ref="P25:P27"/>
    <mergeCell ref="A34:A36"/>
    <mergeCell ref="AR40:AR42"/>
    <mergeCell ref="F37:F39"/>
    <mergeCell ref="G37:G39"/>
    <mergeCell ref="P37:P39"/>
    <mergeCell ref="Q37:Q39"/>
    <mergeCell ref="Z37:Z39"/>
    <mergeCell ref="AA37:AA39"/>
    <mergeCell ref="F31:F36"/>
    <mergeCell ref="G31:G36"/>
    <mergeCell ref="A37:A39"/>
    <mergeCell ref="K37:K39"/>
    <mergeCell ref="L37:L39"/>
    <mergeCell ref="K31:K36"/>
    <mergeCell ref="L31:L36"/>
    <mergeCell ref="A40:A42"/>
    <mergeCell ref="AA19:AA24"/>
    <mergeCell ref="AA13:AA15"/>
    <mergeCell ref="P31:P36"/>
    <mergeCell ref="Q31:Q36"/>
    <mergeCell ref="Z31:Z36"/>
    <mergeCell ref="V2:V3"/>
    <mergeCell ref="U4:U9"/>
    <mergeCell ref="V4:V9"/>
    <mergeCell ref="U10:U12"/>
    <mergeCell ref="V10:V12"/>
    <mergeCell ref="A43:A45"/>
    <mergeCell ref="AS2:AS3"/>
    <mergeCell ref="P4:P9"/>
    <mergeCell ref="Q4:Q9"/>
    <mergeCell ref="AR25:AR27"/>
    <mergeCell ref="AR28:AR30"/>
    <mergeCell ref="AR31:AR33"/>
    <mergeCell ref="AR34:AR36"/>
    <mergeCell ref="AR37:AR39"/>
    <mergeCell ref="AR7:AR9"/>
    <mergeCell ref="AR10:AR12"/>
    <mergeCell ref="AR13:AR15"/>
    <mergeCell ref="AR16:AR18"/>
    <mergeCell ref="AR19:AR21"/>
    <mergeCell ref="AR22:AR24"/>
    <mergeCell ref="AR4:AR6"/>
    <mergeCell ref="AJ28:AJ30"/>
    <mergeCell ref="AK28:AK30"/>
    <mergeCell ref="A16:A18"/>
    <mergeCell ref="A31:A33"/>
    <mergeCell ref="A22:A24"/>
    <mergeCell ref="A25:A27"/>
    <mergeCell ref="G2:G3"/>
    <mergeCell ref="P2:P3"/>
    <mergeCell ref="Q2:Q3"/>
    <mergeCell ref="Z2:Z3"/>
    <mergeCell ref="F19:F24"/>
    <mergeCell ref="G19:G24"/>
    <mergeCell ref="Z19:Z24"/>
    <mergeCell ref="Z13:Z15"/>
    <mergeCell ref="H2:J2"/>
    <mergeCell ref="K2:K3"/>
    <mergeCell ref="L2:L3"/>
    <mergeCell ref="K4:K9"/>
    <mergeCell ref="K25:K27"/>
    <mergeCell ref="L25:L27"/>
    <mergeCell ref="K28:K30"/>
    <mergeCell ref="L28:L30"/>
    <mergeCell ref="P10:P12"/>
    <mergeCell ref="Q10:Q12"/>
    <mergeCell ref="Z10:Z12"/>
    <mergeCell ref="R2:T2"/>
    <mergeCell ref="U2:U3"/>
    <mergeCell ref="A1:AU1"/>
    <mergeCell ref="K16:K18"/>
    <mergeCell ref="L16:L18"/>
    <mergeCell ref="K19:K24"/>
    <mergeCell ref="L19:L24"/>
    <mergeCell ref="AU40:AU42"/>
    <mergeCell ref="AT20:AT21"/>
    <mergeCell ref="AT22:AT24"/>
    <mergeCell ref="AU22:AU24"/>
    <mergeCell ref="A4:A6"/>
    <mergeCell ref="A7:A9"/>
    <mergeCell ref="A10:A12"/>
    <mergeCell ref="A13:A15"/>
    <mergeCell ref="F28:F30"/>
    <mergeCell ref="G28:G30"/>
    <mergeCell ref="F25:F27"/>
    <mergeCell ref="G25:G27"/>
    <mergeCell ref="F13:F15"/>
    <mergeCell ref="G13:G15"/>
    <mergeCell ref="P13:P15"/>
    <mergeCell ref="P19:P24"/>
    <mergeCell ref="Q19:Q24"/>
    <mergeCell ref="F4:F9"/>
    <mergeCell ref="G4:G9"/>
    <mergeCell ref="AU4:AU9"/>
    <mergeCell ref="AU10:AU12"/>
    <mergeCell ref="A28:A30"/>
    <mergeCell ref="C2:E2"/>
    <mergeCell ref="M2:O2"/>
    <mergeCell ref="W2:Y2"/>
    <mergeCell ref="AG2:AI2"/>
    <mergeCell ref="Z4:Z9"/>
    <mergeCell ref="F16:F18"/>
    <mergeCell ref="G16:G18"/>
    <mergeCell ref="P16:P18"/>
    <mergeCell ref="Q16:Q18"/>
    <mergeCell ref="Z16:Z18"/>
    <mergeCell ref="AA16:AA18"/>
    <mergeCell ref="F2:F3"/>
    <mergeCell ref="L4:L9"/>
    <mergeCell ref="K10:K12"/>
    <mergeCell ref="L10:L12"/>
    <mergeCell ref="K13:K15"/>
    <mergeCell ref="L13:L15"/>
    <mergeCell ref="F10:F12"/>
    <mergeCell ref="G10:G12"/>
    <mergeCell ref="AA4:AA9"/>
    <mergeCell ref="AA10:AA12"/>
  </mergeCells>
  <phoneticPr fontId="1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Geo &amp; CIC Deployment Plan</vt:lpstr>
      <vt:lpstr>Summary</vt:lpstr>
      <vt:lpstr>Growth Survey+Stay Ahead Plan</vt:lpstr>
      <vt:lpstr>Intern Deploy-Plan Tracker</vt:lpstr>
      <vt:lpstr>Intern Deploy-Planning TKR DV</vt:lpstr>
      <vt:lpstr>Status of Curriculum Completion</vt:lpstr>
      <vt:lpstr>1h 2h data</vt:lpstr>
      <vt:lpstr>Sheet1</vt:lpstr>
      <vt:lpstr>OLD _ Intern Onboarding Plan</vt:lpstr>
    </vt:vector>
  </TitlesOfParts>
  <Manager/>
  <Company>IBM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ADMINIBM</dc:creator>
  <cp:keywords/>
  <dc:description/>
  <cp:lastModifiedBy>Barbara S Mawkhlieng</cp:lastModifiedBy>
  <cp:revision/>
  <dcterms:created xsi:type="dcterms:W3CDTF">2016-08-22T08:53:28Z</dcterms:created>
  <dcterms:modified xsi:type="dcterms:W3CDTF">2023-02-24T12:38:31Z</dcterms:modified>
  <cp:category/>
  <cp:contentStatus/>
</cp:coreProperties>
</file>